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lU/aMqdQAZkFWpyC46GTgNa+2xuyigh4Rz6ckgNmntjpRXb/PSpxF19JaWnbzJlitef/dt79x2JVJVCP7CGZBQ==" workbookSaltValue="uprM6+Y0umRsPh7Uzrzd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BA13" i="8" s="1"/>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R19" i="8"/>
  <c r="EL19" i="8"/>
  <c r="EQ19" i="8"/>
  <c r="AP12" i="11"/>
  <c r="AT18" i="17"/>
  <c r="N10" i="11"/>
  <c r="N9" i="11"/>
  <c r="T10" i="21"/>
  <c r="F10" i="10"/>
  <c r="N11" i="11"/>
  <c r="ES19" i="8"/>
  <c r="S19" i="13"/>
  <c r="AG19" i="19"/>
  <c r="CI19" i="8"/>
  <c r="F17" i="16"/>
  <c r="BL17" i="16" s="1"/>
  <c r="EP19" i="8"/>
  <c r="ER19" i="13"/>
  <c r="AL13" i="16"/>
  <c r="S13" i="16"/>
  <c r="H18" i="16"/>
  <c r="P13" i="16"/>
  <c r="AN13" i="20"/>
  <c r="F15" i="17"/>
  <c r="F17" i="17"/>
  <c r="AQ17" i="17" s="1"/>
  <c r="F9" i="2"/>
  <c r="M13" i="2"/>
  <c r="N13" i="2"/>
  <c r="B17" i="6"/>
  <c r="AC10" i="11"/>
  <c r="H13" i="12"/>
  <c r="T19" i="8"/>
  <c r="AJ19"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1"/>
  <c r="AX20" i="20"/>
  <c r="X20" i="20"/>
  <c r="O16" i="11"/>
  <c r="T20" i="20"/>
  <c r="I20" i="20"/>
  <c r="AD20" i="20"/>
  <c r="M20" i="20"/>
  <c r="W20" i="21"/>
  <c r="W20" i="20"/>
  <c r="AI20" i="20"/>
  <c r="AG20" i="20"/>
  <c r="AU20" i="20"/>
  <c r="Y20" i="20"/>
  <c r="O20" i="20"/>
  <c r="AH20" i="20"/>
  <c r="Q20" i="20"/>
  <c r="H20" i="20"/>
  <c r="N20" i="20"/>
  <c r="U12" i="11"/>
  <c r="R20" i="20"/>
  <c r="AV20" i="20"/>
  <c r="AO20" i="20"/>
  <c r="Z20" i="20"/>
  <c r="C17" i="6" l="1"/>
  <c r="Y19" i="8"/>
  <c r="E18" i="12"/>
  <c r="C18" i="7"/>
  <c r="AW18" i="21"/>
  <c r="AC11" i="11"/>
  <c r="BG10" i="8"/>
  <c r="AB19" i="8"/>
  <c r="Z19" i="8"/>
  <c r="F9" i="11"/>
  <c r="AQ9" i="11" s="1"/>
  <c r="BD9" i="8"/>
  <c r="H12" i="2"/>
  <c r="AL10" i="11"/>
  <c r="B12" i="6"/>
  <c r="L12" i="14"/>
  <c r="H12" i="7"/>
  <c r="C11" i="6"/>
  <c r="AO16" i="11"/>
  <c r="M18" i="2"/>
  <c r="M19" i="2" s="1"/>
  <c r="N18" i="2"/>
  <c r="I11" i="12"/>
  <c r="BE12" i="13"/>
  <c r="E11" i="6"/>
  <c r="AO9" i="11"/>
  <c r="AL11" i="11"/>
  <c r="D11" i="12"/>
  <c r="BF11" i="8"/>
  <c r="J11" i="7" s="1"/>
  <c r="BF9" i="8"/>
  <c r="BG9" i="8"/>
  <c r="K9" i="7" s="1"/>
  <c r="BE9" i="8"/>
  <c r="BD11" i="8"/>
  <c r="H11" i="7" s="1"/>
  <c r="BE11" i="8"/>
  <c r="BG12" i="8"/>
  <c r="K12" i="7" s="1"/>
  <c r="BE12" i="8"/>
  <c r="BD15" i="8"/>
  <c r="H15" i="7" s="1"/>
  <c r="BE15" i="8"/>
  <c r="BG16" i="8"/>
  <c r="C10" i="6"/>
  <c r="L11" i="14"/>
  <c r="E18" i="2"/>
  <c r="F18" i="2" s="1"/>
  <c r="AO17" i="11"/>
  <c r="AL15" i="11"/>
  <c r="L16" i="14"/>
  <c r="F15" i="11"/>
  <c r="AQ15" i="11" s="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L17" i="14"/>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B18" i="6" l="1"/>
  <c r="F18" i="11"/>
  <c r="AL18" i="11"/>
  <c r="F19" i="7"/>
  <c r="B19" i="7"/>
  <c r="D19" i="5"/>
  <c r="I10" i="1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<sst xmlns="http://schemas.openxmlformats.org/spreadsheetml/2006/main" count="2088" uniqueCount="918">
  <si>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</si>
  <si>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</si>
  <si>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</si>
  <si>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</si>
  <si>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</si>
  <si>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</si>
  <si>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</si>
  <si>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</si>
  <si>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</si>
  <si>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</si>
  <si>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</si>
  <si>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</si>
  <si>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</si>
  <si>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</si>
  <si>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</si>
  <si>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</si>
  <si>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</si>
  <si>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</si>
  <si>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</si>
  <si>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</si>
  <si>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</si>
  <si>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</si>
  <si>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</si>
  <si>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</si>
  <si>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</si>
  <si>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</si>
  <si>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</si>
  <si>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</si>
  <si>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</si>
  <si>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</si>
  <si>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</si>
  <si>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</si>
  <si>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</si>
  <si>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</si>
  <si>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</si>
  <si>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</si>
  <si>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</si>
  <si>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</si>
  <si>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</si>
  <si>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</si>
  <si>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</si>
  <si>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</si>
  <si>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</si>
  <si>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</si>
  <si>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</si>
  <si>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</si>
  <si>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</si>
  <si>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</si>
  <si>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</si>
  <si>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</si>
  <si>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</si>
  <si>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</si>
  <si>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</si>
  <si>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</si>
  <si>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</si>
  <si>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</si>
  <si>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</si>
  <si>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</si>
  <si>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</si>
  <si>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</si>
  <si>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</si>
  <si>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</si>
  <si>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</si>
  <si>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</si>
  <si>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</si>
  <si>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</si>
  <si>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</si>
  <si>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</si>
  <si>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</si>
  <si>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</si>
  <si>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</si>
  <si>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</si>
  <si>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</si>
  <si>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</si>
  <si>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</si>
  <si>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</si>
  <si>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</si>
  <si>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</si>
  <si>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</si>
  <si>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</si>
  <si>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</si>
  <si>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</si>
  <si>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</si>
  <si>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</si>
  <si>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</si>
  <si>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</si>
  <si>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</si>
  <si>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</si>
  <si>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</si>
  <si>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</si>
  <si>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</si>
  <si>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</si>
  <si>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</si>
  <si>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</si>
  <si>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</si>
  <si>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</si>
  <si>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</si>
  <si>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</si>
  <si>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</si>
  <si>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</si>
  <si>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</si>
  <si>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</si>
  <si>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</si>
  <si>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</si>
  <si>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</si>
  <si>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</si>
  <si>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</si>
  <si>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</si>
  <si>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</si>
  <si>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</si>
  <si>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</si>
  <si>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</si>
  <si>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</si>
  <si>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</si>
  <si>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</si>
  <si>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</si>
  <si>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</si>
  <si>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</si>
  <si>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</si>
  <si>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</si>
  <si>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</si>
  <si>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</si>
  <si>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</si>
  <si>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</si>
  <si>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</si>
  <si>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</si>
  <si>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</si>
  <si>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</si>
  <si>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</si>
  <si>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</si>
  <si>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</si>
  <si>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</si>
  <si>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</si>
  <si>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</si>
  <si>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</si>
  <si>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</si>
  <si>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</si>
  <si>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</si>
  <si>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</si>
  <si>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</si>
  <si>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</si>
  <si>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</si>
  <si>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</si>
  <si>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</si>
  <si>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</si>
  <si>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</si>
  <si>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</si>
  <si>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</si>
  <si>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</si>
  <si>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</si>
  <si>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</si>
  <si>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</si>
  <si>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</si>
  <si>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</si>
  <si>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</si>
  <si>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</si>
  <si>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</si>
  <si>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</si>
  <si>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</si>
  <si>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</si>
  <si>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</si>
  <si>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</si>
  <si>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</si>
  <si>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</si>
  <si>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</si>
  <si>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</si>
  <si>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</si>
  <si>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</si>
  <si>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</si>
  <si>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</si>
  <si>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</si>
  <si>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</si>
  <si>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</si>
  <si>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</si>
  <si>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</si>
  <si>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</si>
  <si>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</si>
  <si>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</si>
  <si>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</si>
  <si>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</si>
  <si>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</si>
  <si>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</si>
  <si>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</si>
  <si>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</si>
  <si>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</si>
  <si>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</si>
  <si>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</si>
  <si>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</si>
  <si>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</si>
  <si>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</si>
  <si>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</si>
  <si>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</si>
  <si>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</si>
  <si>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</si>
  <si>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</si>
  <si>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</si>
  <si>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</si>
  <si>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</si>
  <si>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</si>
  <si>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</si>
  <si>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</si>
  <si>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</si>
  <si>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</si>
  <si>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</si>
  <si>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</si>
  <si>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</si>
  <si>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</si>
  <si>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</si>
  <si>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</si>
  <si>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</si>
  <si>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</si>
  <si>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</si>
  <si>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</si>
  <si>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</si>
  <si>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</si>
  <si>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</si>
  <si>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</si>
  <si>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</si>
  <si>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</si>
  <si>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</si>
  <si>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</si>
  <si>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</si>
  <si>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</si>
  <si>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</si>
  <si>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</si>
  <si>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</si>
  <si>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</si>
  <si>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</si>
  <si>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</si>
  <si>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</si>
  <si>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</si>
  <si>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</si>
  <si>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</si>
  <si>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</si>
  <si>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</si>
  <si>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</si>
  <si>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</si>
  <si>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</si>
  <si>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</si>
  <si>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</si>
  <si>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</si>
  <si>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</si>
  <si>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</si>
  <si>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</si>
  <si>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</si>
  <si>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</si>
  <si>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</si>
  <si>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</si>
  <si>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</si>
  <si>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</si>
  <si>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</si>
  <si>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</si>
  <si>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</si>
  <si>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</si>
  <si>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</si>
  <si>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</si>
  <si>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</si>
  <si>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</si>
  <si>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</si>
  <si>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</si>
  <si>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</si>
  <si>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</si>
  <si>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</si>
  <si>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</si>
  <si>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</si>
  <si>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</si>
  <si>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</si>
  <si>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</si>
  <si>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</si>
  <si>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</si>
  <si>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</si>
  <si>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</si>
  <si>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</si>
  <si>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</si>
  <si>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</si>
  <si>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</si>
  <si>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</si>
  <si>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</si>
  <si>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</si>
  <si>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</si>
  <si>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</si>
  <si>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</si>
  <si>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</si>
  <si>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</si>
  <si>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</si>
  <si>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</si>
  <si>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</si>
  <si>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</si>
  <si>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</si>
  <si>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</si>
  <si>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</si>
  <si>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</si>
  <si>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</si>
  <si>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</si>
  <si>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</si>
  <si>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</si>
  <si>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</si>
  <si>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</si>
  <si>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</si>
  <si>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</si>
  <si>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</si>
  <si>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</si>
  <si>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</si>
  <si>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</si>
  <si>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</si>
  <si>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</si>
  <si>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</si>
  <si>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</si>
  <si>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</si>
  <si>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</si>
  <si>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</si>
  <si>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</si>
  <si>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</si>
  <si>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</si>
  <si>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</si>
  <si>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</si>
  <si>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</si>
  <si>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</si>
  <si>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</si>
  <si>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</si>
  <si>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</si>
  <si>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</si>
  <si>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</si>
  <si>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</si>
  <si>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</si>
  <si>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</si>
  <si>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</si>
  <si>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</si>
  <si>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</si>
  <si>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</si>
  <si>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</si>
  <si>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</si>
  <si>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</si>
  <si>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</si>
  <si>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</si>
  <si>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</si>
  <si>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</si>
  <si>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</si>
  <si>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</si>
  <si>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</si>
  <si>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</si>
  <si>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</si>
  <si>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</si>
  <si>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</si>
  <si>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</si>
  <si>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</si>
  <si>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</si>
  <si>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</si>
  <si>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</si>
  <si>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</si>
  <si>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</si>
  <si>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</si>
  <si>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</si>
  <si>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</si>
  <si>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</si>
  <si>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</si>
  <si>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</si>
  <si>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</si>
  <si>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</si>
  <si>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</si>
  <si>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</si>
  <si>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</si>
  <si>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</si>
  <si>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</si>
  <si>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</si>
  <si>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</si>
  <si>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</si>
  <si>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</si>
  <si>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</si>
  <si>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</si>
  <si>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</si>
  <si>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</si>
  <si>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</si>
  <si>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</si>
  <si>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</si>
  <si>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</si>
  <si>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</si>
  <si>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</si>
  <si>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</si>
  <si>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</si>
  <si>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</si>
  <si>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</si>
  <si>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</si>
  <si>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</si>
  <si>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</si>
  <si>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</si>
  <si>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</si>
  <si>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</si>
  <si>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</si>
  <si>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</si>
  <si>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</si>
  <si>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</si>
  <si>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</si>
  <si>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</si>
  <si>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</si>
  <si>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</si>
  <si>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</si>
  <si>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</si>
  <si>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</si>
  <si>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</si>
  <si>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</si>
  <si>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</si>
  <si>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</si>
  <si>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</si>
  <si>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</si>
  <si>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</si>
  <si>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</si>
  <si>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</si>
  <si>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</si>
  <si>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</si>
  <si>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</si>
  <si>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</si>
  <si>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</si>
  <si>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</si>
  <si>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</si>
  <si>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</si>
  <si>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</si>
  <si>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</si>
  <si>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</si>
  <si>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</si>
  <si>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</si>
  <si>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</si>
  <si>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</si>
  <si>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</si>
  <si>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</si>
  <si>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</si>
  <si>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</si>
  <si>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</si>
  <si>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</si>
  <si>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</si>
  <si>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</si>
  <si>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</si>
  <si>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</si>
  <si>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</si>
  <si>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</si>
  <si>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</si>
  <si>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</si>
  <si>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</si>
  <si>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</si>
  <si>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</si>
  <si>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</si>
  <si>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</si>
  <si>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</si>
  <si>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</si>
  <si>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</si>
  <si>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</si>
  <si>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</si>
  <si>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</si>
  <si>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</si>
  <si>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</si>
  <si>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</si>
  <si>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</si>
  <si>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</si>
  <si>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</si>
  <si>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</si>
  <si>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</si>
  <si>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</si>
  <si>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</si>
  <si>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</si>
  <si>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</si>
  <si>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</si>
  <si>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</si>
  <si>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</si>
  <si>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</si>
  <si>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</si>
  <si>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</si>
  <si>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</si>
  <si>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</si>
  <si>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</si>
  <si>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</si>
  <si>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</si>
  <si>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</si>
  <si>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</si>
  <si>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</si>
  <si>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</si>
  <si>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</si>
  <si>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</si>
  <si>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</si>
  <si>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</si>
  <si>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</si>
  <si>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</si>
  <si>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</si>
  <si>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</si>
  <si>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</si>
  <si>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</si>
  <si>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</si>
  <si>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</si>
  <si>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</si>
  <si>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</si>
  <si>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</si>
  <si>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</si>
  <si>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</si>
  <si>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</si>
  <si>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</si>
  <si>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</si>
  <si>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</si>
  <si>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</si>
  <si>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</si>
  <si>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</si>
  <si>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</si>
  <si>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</si>
  <si>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</si>
  <si>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</si>
  <si>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</si>
  <si>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</si>
  <si>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</si>
  <si>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</si>
  <si>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</si>
  <si>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</si>
  <si>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</si>
  <si>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</si>
  <si>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</si>
  <si>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</si>
  <si>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</si>
  <si>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</si>
  <si>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</si>
  <si>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</si>
  <si>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</si>
  <si>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</si>
  <si>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</si>
  <si>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</si>
  <si>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</si>
  <si>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</si>
  <si>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</si>
  <si>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</si>
  <si>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</si>
  <si>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</si>
  <si>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</si>
  <si>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</si>
  <si>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</si>
  <si>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</si>
  <si>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</si>
  <si>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</si>
  <si>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</si>
  <si>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</si>
  <si>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</si>
  <si>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</si>
  <si>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</si>
  <si>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</si>
  <si>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</si>
  <si>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</si>
  <si>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</si>
  <si>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</si>
  <si>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</si>
  <si>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</si>
  <si>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</si>
  <si>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</si>
  <si>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</si>
  <si>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</si>
  <si>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</si>
  <si>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</si>
  <si>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</si>
  <si>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</si>
  <si>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</si>
  <si>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</si>
  <si>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</si>
  <si>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</si>
  <si>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</si>
  <si>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</si>
  <si>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</si>
  <si>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</si>
  <si>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</si>
  <si>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</si>
  <si>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</si>
  <si>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</si>
  <si>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</si>
  <si>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</si>
  <si>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</si>
  <si>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</si>
  <si>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</si>
  <si>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</si>
  <si>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</si>
  <si>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</si>
  <si>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</si>
  <si>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</si>
  <si>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</si>
  <si>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</si>
  <si>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</si>
  <si>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</si>
  <si>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</si>
  <si>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</si>
  <si>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</si>
  <si>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</si>
  <si>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</si>
  <si>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</si>
  <si>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</si>
  <si>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</si>
  <si>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</si>
  <si>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</si>
  <si>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</si>
  <si>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</si>
  <si>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</si>
  <si>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</si>
  <si>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</si>
  <si>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</si>
  <si>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</si>
  <si>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</si>
  <si>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</si>
  <si>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</si>
  <si>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</si>
  <si>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</si>
  <si>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</si>
  <si>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</si>
  <si>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</si>
  <si>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</si>
  <si>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</si>
  <si>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</si>
  <si>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</si>
  <si>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</si>
  <si>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</si>
  <si>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</si>
  <si>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</si>
  <si>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</si>
  <si>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</si>
  <si>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</si>
  <si>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</si>
  <si>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</si>
  <si>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</si>
  <si>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</si>
  <si>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</si>
  <si>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</si>
  <si>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</si>
  <si>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</si>
  <si>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</si>
  <si>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</si>
  <si>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</si>
  <si>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</si>
  <si>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</si>
  <si>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</si>
  <si>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</si>
  <si>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</si>
  <si>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</si>
  <si>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</si>
  <si>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</si>
  <si>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</si>
  <si>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</si>
  <si>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</si>
  <si>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</si>
  <si>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</si>
  <si>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</si>
  <si>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</si>
  <si>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</si>
  <si>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</si>
  <si>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</si>
  <si>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</si>
  <si>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</si>
  <si>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</si>
  <si>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</si>
  <si>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</si>
  <si>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</si>
  <si>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</si>
  <si>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</si>
  <si>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</si>
  <si>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</si>
  <si>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</si>
  <si>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</si>
  <si>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</si>
  <si>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</si>
  <si>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</si>
  <si>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</si>
  <si>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</si>
  <si>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</si>
  <si>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</si>
  <si>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</si>
  <si>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</si>
  <si>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</si>
  <si>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</si>
  <si>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</si>
  <si>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</si>
  <si>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</si>
  <si>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</si>
  <si>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</si>
  <si>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</si>
  <si>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</si>
  <si>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</si>
  <si>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</si>
  <si>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</si>
  <si>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</si>
  <si>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</si>
  <si>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</si>
  <si>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</si>
  <si>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</si>
  <si>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</si>
  <si>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</si>
  <si>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</si>
  <si>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</si>
  <si>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</si>
  <si>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</si>
  <si>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</si>
  <si>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</si>
  <si>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</si>
  <si>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</si>
  <si>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</si>
  <si>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</si>
  <si>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</si>
  <si>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</si>
  <si>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</si>
  <si>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</si>
  <si>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</si>
  <si>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</si>
  <si>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</si>
  <si>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</si>
  <si>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</si>
  <si>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</si>
  <si>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</si>
  <si>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</si>
  <si>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</si>
  <si>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</si>
  <si>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</si>
  <si>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</si>
  <si>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</si>
  <si>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</si>
  <si>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</si>
  <si>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</si>
  <si>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</si>
  <si>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</si>
  <si>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</si>
  <si>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</si>
  <si>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</si>
  <si>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</si>
  <si>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</si>
  <si>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</si>
  <si>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</si>
  <si>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</si>
  <si>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</si>
  <si>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</si>
  <si>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</si>
  <si>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</si>
  <si>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</si>
  <si>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</si>
  <si>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</si>
  <si>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</si>
  <si>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</si>
  <si>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</si>
  <si>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</si>
  <si>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</si>
  <si>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</si>
  <si>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</si>
  <si>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</si>
  <si>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</si>
  <si>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</si>
  <si>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</si>
  <si>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</si>
  <si>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</si>
  <si>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</si>
  <si>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</si>
  <si>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</si>
  <si>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</si>
  <si>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</si>
  <si>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</si>
  <si>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</si>
  <si>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</si>
  <si>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</si>
  <si>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</si>
  <si>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</si>
  <si>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</si>
  <si>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</si>
  <si>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</si>
  <si>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</si>
  <si>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</si>
  <si>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</si>
  <si>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</si>
  <si>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</si>
  <si>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</si>
  <si>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</si>
  <si>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</si>
  <si>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</si>
  <si>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</si>
  <si>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</si>
  <si>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</si>
  <si>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</si>
  <si>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</si>
  <si>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</si>
  <si>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</si>
  <si>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</si>
  <si>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</si>
  <si>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</si>
  <si>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</si>
  <si>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</si>
  <si>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</si>
  <si>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</si>
  <si>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</si>
  <si>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</si>
  <si>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</si>
  <si>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</si>
  <si>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</si>
  <si>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</si>
  <si>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</si>
  <si>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</si>
  <si>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</si>
  <si>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</si>
  <si>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</si>
  <si>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</si>
  <si>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</si>
  <si>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</si>
  <si>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</si>
  <si>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</si>
  <si>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</si>
  <si>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</si>
  <si>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</si>
  <si>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</si>
  <si>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</si>
  <si>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</si>
  <si>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</si>
  <si>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</si>
  <si>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</si>
  <si>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</si>
  <si>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</si>
  <si>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</si>
  <si>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</si>
  <si>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</si>
  <si>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</si>
  <si>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</si>
  <si>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</si>
  <si>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</si>
  <si>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</si>
  <si>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</si>
  <si>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</si>
  <si>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</si>
  <si>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</si>
  <si>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</si>
  <si>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</si>
  <si>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</si>
  <si>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</si>
  <si>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</si>
  <si>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</si>
  <si>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</si>
  <si>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</si>
  <si>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</si>
  <si>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</si>
  <si>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</si>
  <si>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</si>
  <si>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</si>
  <si>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</si>
  <si>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</si>
  <si>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</si>
  <si>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</si>
  <si>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</si>
  <si>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</si>
  <si>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</si>
  <si>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</si>
  <si>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</si>
  <si>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</si>
  <si>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</si>
  <si>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</si>
  <si>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</si>
  <si>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</si>
  <si>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</si>
  <si>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</si>
  <si>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</si>
  <si>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</si>
  <si>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</si>
  <si>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</si>
  <si>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</si>
  <si>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</si>
  <si>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</si>
  <si>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</si>
  <si>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</si>
  <si>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</si>
  <si>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</si>
  <si>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</si>
  <si>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</si>
  <si>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</si>
  <si>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</si>
  <si>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</si>
  <si>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</si>
  <si>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</si>
  <si>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</si>
  <si>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</si>
  <si>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</si>
  <si>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</si>
  <si>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</si>
  <si>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</si>
  <si>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</si>
  <si>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</si>
  <si>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</si>
  <si>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</si>
  <si>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</si>
  <si>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</si>
  <si>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</si>
  <si>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</si>
  <si>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</si>
  <si>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</si>
  <si>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</si>
  <si>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</si>
  <si>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</si>
  <si>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</si>
  <si>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</si>
  <si>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</si>
  <si>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</si>
  <si>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</si>
  <si>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</si>
  <si>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</si>
  <si>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</si>
  <si>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</si>
  <si>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</si>
  <si>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</si>
  <si>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</si>
  <si>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</si>
  <si>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</si>
  <si>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</si>
  <si>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</si>
  <si>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</si>
  <si>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</si>
  <si>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</si>
  <si>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</si>
  <si>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</si>
  <si>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</si>
  <si>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</si>
  <si>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</si>
  <si>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</si>
  <si>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</si>
  <si>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</si>
  <si>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</si>
  <si>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</si>
  <si>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LAS PALMAS</t>
  </si>
  <si>
    <t>Resumenes por Partidos Judiciales</t>
  </si>
  <si>
    <t>PALMAS DE GRAN CANARIA, 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</si>
</sst>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lAkAsXDd+oKG8SO1LQ8e3miK6dNuTC50m40p5riKRxNyrGgDCyf2CrkMuJbe0CmWCyo+3/cNUn4BmspzRBMLg==" saltValue="Erf+p19TqBXpC7A7TqYy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14</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16.77469776529491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3</v>
      </c>
      <c r="B10" s="501" t="str">
        <f>Datos!A10</f>
        <v>Jdos. Violencia contra la mujer/Secc Viol. TI.</v>
      </c>
      <c r="C10" s="224">
        <f t="shared" si="0"/>
        <v>389</v>
      </c>
      <c r="D10" s="224">
        <f>IF(ISNUMBER(Datos!I10),Datos!I10," - ")</f>
        <v>389</v>
      </c>
      <c r="E10" s="225">
        <f>IF(ISNUMBER(Datos!J10),Datos!J10," - ")</f>
        <v>150</v>
      </c>
      <c r="F10" s="225">
        <f>IF(ISNUMBER(Datos!K10),Datos!K10," - ")</f>
        <v>145</v>
      </c>
      <c r="G10" s="1033" t="str">
        <f>IF(Datos!E10&lt;&gt;"",Datos!E10,Datos!D10)</f>
        <v>37</v>
      </c>
      <c r="H10" s="226">
        <f>IF(ISNUMBER(Datos!L10),Datos!L10," - ")</f>
        <v>394</v>
      </c>
      <c r="I10" s="1043" t="str">
        <f>IF(ISNUMBER(Datos!AS10/Datos!BM10),Datos!AS10/Datos!BM10," - ")</f>
        <v xml:space="preserve"> - </v>
      </c>
      <c r="J10" s="1044">
        <f>IF(ISNUMBER(Datos!BY10/Datos!CN10),Datos!BY10/Datos!CN10," - ")</f>
        <v>0</v>
      </c>
      <c r="K10" s="229">
        <f t="shared" ref="K10:K12" si="1">IF(ISNUMBER((E10-F10)/C10),(E10-F10)/C10," - ")</f>
        <v>1.2853470437017995E-2</v>
      </c>
      <c r="L10" s="1024">
        <f>IF(ISNUMBER(NºAsuntos!I10/NºAsuntos!G10),(NºAsuntos!I10/NºAsuntos!G10)*11," - ")</f>
        <v>29.889655172413793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9.9423076923076916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389</v>
      </c>
      <c r="D13" s="1048">
        <f>SUBTOTAL(9,D9:D12)</f>
        <v>389</v>
      </c>
      <c r="E13" s="1049">
        <f>SUBTOTAL(9,E9:E12)</f>
        <v>150</v>
      </c>
      <c r="F13" s="1050">
        <f>SUBTOTAL(9,F9:F12)</f>
        <v>145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8</v>
      </c>
      <c r="B15" s="501" t="str">
        <f>Datos!A15</f>
        <v xml:space="preserve">Jdos. Instrucción                               </v>
      </c>
      <c r="C15" s="224">
        <f t="shared" ref="C15:C17" si="2">IF(ISNUMBER(H15-E15+F15),H15-E15+F15," - ")</f>
        <v>5021</v>
      </c>
      <c r="D15" s="224">
        <f>IF(ISNUMBER(IF(D_I="SI",Datos!I15,Datos!I15+Datos!AC15)),IF(D_I="SI",Datos!I15,Datos!I15+Datos!AC15)," - ")</f>
        <v>4940</v>
      </c>
      <c r="E15" s="225">
        <f>IF(ISNUMBER(IF(D_I="SI",Datos!J15,Datos!J15+Datos!AD15)),IF(D_I="SI",Datos!J15,Datos!J15+Datos!AD15)," - ")</f>
        <v>8378</v>
      </c>
      <c r="F15" s="225">
        <f>IF(ISNUMBER(IF(D_I="SI",Datos!K15,Datos!K15+Datos!AE15)),IF(D_I="SI",Datos!K15,Datos!K15+Datos!AE15)," - ")</f>
        <v>8473</v>
      </c>
      <c r="G15" s="1033" t="str">
        <f>IF(Datos!E15&lt;&gt;"",Datos!E15,Datos!D15)</f>
        <v>03</v>
      </c>
      <c r="H15" s="226">
        <f>IF(ISNUMBER(IF(D_I="SI",Datos!L15,Datos!L15+Datos!AF15)),IF(D_I="SI",Datos!L15,Datos!L15+Datos!AF15)," - ")</f>
        <v>4926</v>
      </c>
      <c r="I15" s="1043" t="str">
        <f>IF(ISNUMBER(Datos!AS15/Datos!BM15),Datos!AS15/Datos!BM15," - ")</f>
        <v xml:space="preserve"> - </v>
      </c>
      <c r="J15" s="1044">
        <f>IF(ISNUMBER(Datos!BY15/Datos!CN15),Datos!BY15/Datos!CN15," - ")</f>
        <v>0</v>
      </c>
      <c r="K15" s="229">
        <f t="shared" ref="K15:K17" si="3">IF(ISNUMBER((E15-F15)/C15),(E15-F15)/C15," - ")</f>
        <v>-1.8920533758215494E-2</v>
      </c>
      <c r="L15" s="1024">
        <f>IF(ISNUMBER(NºAsuntos!I15/NºAsuntos!G15),(NºAsuntos!I15/NºAsuntos!G15)*11," - ")</f>
        <v>6.3951374955741764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3</v>
      </c>
      <c r="B17" s="501" t="str">
        <f>Datos!A17</f>
        <v>Jdos. Violencia contra la mujer/Secc Viol. TI.</v>
      </c>
      <c r="C17" s="224">
        <f t="shared" si="2"/>
        <v>616</v>
      </c>
      <c r="D17" s="224">
        <f>IF(ISNUMBER(IF(D_I="SI",Datos!I17,Datos!I17+Datos!AC17)),IF(D_I="SI",Datos!I17,Datos!I17+Datos!AC17)," - ")</f>
        <v>614</v>
      </c>
      <c r="E17" s="225">
        <f>IF(ISNUMBER(IF(D_I="SI",Datos!J17,Datos!J17+Datos!AD17)),IF(D_I="SI",Datos!J17,Datos!J17+Datos!AD17)," - ")</f>
        <v>1384</v>
      </c>
      <c r="F17" s="225">
        <f>IF(ISNUMBER(IF(D_I="SI",Datos!K17,Datos!K17+Datos!AE17)),IF(D_I="SI",Datos!K17,Datos!K17+Datos!AE17)," - ")</f>
        <v>1469</v>
      </c>
      <c r="G17" s="1033" t="str">
        <f>IF(Datos!E17&lt;&gt;"",Datos!E17,Datos!D17)</f>
        <v>37</v>
      </c>
      <c r="H17" s="226">
        <f>IF(ISNUMBER(IF(D_I="SI",Datos!L17,Datos!L17+Datos!AF17)),IF(D_I="SI",Datos!L17,Datos!L17+Datos!AF17)," - ")</f>
        <v>531</v>
      </c>
      <c r="I17" s="1043" t="str">
        <f>IF(ISNUMBER(Datos!AS17/Datos!BM17),Datos!AS17/Datos!BM17," - ")</f>
        <v xml:space="preserve"> - </v>
      </c>
      <c r="J17" s="1044" t="str">
        <f>IF(ISNUMBER((Datos!BY17+Datos!BZ17)/Datos!CN17),(Datos!BY17+Datos!BZ17)/Datos!CN17," - ")</f>
        <v xml:space="preserve"> - </v>
      </c>
      <c r="K17" s="229">
        <f t="shared" si="3"/>
        <v>-0.13798701298701299</v>
      </c>
      <c r="L17" s="1024">
        <f>IF(ISNUMBER(NºAsuntos!I17/NºAsuntos!G17),(NºAsuntos!I17/NºAsuntos!G17)*11," - ")</f>
        <v>3.9761742682096664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5637</v>
      </c>
      <c r="D18" s="1048">
        <f>SUBTOTAL(9,D15:D17)</f>
        <v>5554</v>
      </c>
      <c r="E18" s="1049">
        <f>SUBTOTAL(9,E15:E17)</f>
        <v>9762</v>
      </c>
      <c r="F18" s="1049">
        <f>SUBTOTAL(9,F15:F17)</f>
        <v>9942</v>
      </c>
      <c r="G18" s="1051" t="str">
        <f ca="1">INDIRECT(CONCATENATE("G",ROW()-1))</f>
        <v>37</v>
      </c>
      <c r="H18" s="1052">
        <f ca="1">SUMIF(G$14:G17,G18,H$14:H17)</f>
        <v>531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6026</v>
      </c>
      <c r="D19" s="1070">
        <f>SUBTOTAL(9,D9:D18)</f>
        <v>5943</v>
      </c>
      <c r="E19" s="1071">
        <f>SUBTOTAL(9,E9:E18)</f>
        <v>9912</v>
      </c>
      <c r="F19" s="1071">
        <f>SUBTOTAL(9,F9:F18)</f>
        <v>10087</v>
      </c>
      <c r="G19" s="1072"/>
      <c r="H19" s="1073">
        <f ca="1">SUMIF(B9:B18,"TOTAL",H9:H18)</f>
        <v>531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mT6T/RcnI6d4c/TwtluyAec7r8jd6SqtZ4MpBY63Csq3K79RraMEAO+AZs/K+qhuUns3TL2Tb4mAQh+J5SNg==" saltValue="qmPI3geucCrzLDjG3O/66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SRu7ISaFwNSqej9v6nd+W/XQ/q7z1RJUK1+7uU/xUoKZf3fmZWOPYEq/dedXhWCE9CyuCyC8v1Zs0su/QZnZQ==" saltValue="IcQS78jDy9EsPKgIMgx6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13268</v>
      </c>
      <c r="J9" s="180">
        <v>6385</v>
      </c>
      <c r="K9" s="180">
        <v>7819</v>
      </c>
      <c r="L9" s="180">
        <v>12181</v>
      </c>
      <c r="M9" s="180">
        <v>2884</v>
      </c>
      <c r="N9" s="180">
        <v>3589</v>
      </c>
      <c r="O9" s="180">
        <v>2845</v>
      </c>
      <c r="P9" s="180">
        <v>1861</v>
      </c>
      <c r="Q9" s="180">
        <v>4301</v>
      </c>
      <c r="R9" s="180">
        <v>26323</v>
      </c>
      <c r="S9" s="180">
        <v>16903</v>
      </c>
      <c r="T9" s="180">
        <v>10486</v>
      </c>
      <c r="U9" s="180">
        <v>11442</v>
      </c>
      <c r="V9" s="180">
        <v>15948</v>
      </c>
      <c r="W9" s="180">
        <v>2985</v>
      </c>
      <c r="X9" s="187">
        <v>6106</v>
      </c>
      <c r="Y9" s="190">
        <v>388</v>
      </c>
      <c r="Z9" s="180">
        <v>289</v>
      </c>
      <c r="AA9" s="180">
        <v>370</v>
      </c>
      <c r="AB9" s="180">
        <v>307</v>
      </c>
      <c r="AC9" s="180">
        <v>0</v>
      </c>
      <c r="AD9" s="180">
        <v>0</v>
      </c>
      <c r="AE9" s="180">
        <v>0</v>
      </c>
      <c r="AF9" s="187">
        <v>0</v>
      </c>
      <c r="AG9" s="190">
        <v>262</v>
      </c>
      <c r="AH9" s="180">
        <v>130</v>
      </c>
      <c r="AI9" s="180">
        <v>173</v>
      </c>
      <c r="AJ9" s="191">
        <v>219</v>
      </c>
      <c r="AK9" s="179">
        <v>0</v>
      </c>
      <c r="AL9" s="180">
        <v>0</v>
      </c>
      <c r="AM9" s="180">
        <v>0</v>
      </c>
      <c r="AN9" s="187">
        <v>0</v>
      </c>
      <c r="AO9" s="257">
        <v>14</v>
      </c>
      <c r="AP9" s="153">
        <v>14</v>
      </c>
      <c r="AQ9" s="153">
        <v>14</v>
      </c>
      <c r="AR9" s="192">
        <v>14</v>
      </c>
      <c r="AS9" s="337" t="s">
        <v>791</v>
      </c>
      <c r="AT9" s="194"/>
      <c r="AU9" s="193"/>
      <c r="AV9" s="194"/>
      <c r="AW9" s="193"/>
      <c r="AX9" s="194"/>
      <c r="AY9" s="123">
        <f>IF(ISNUMBER(IF(J_V="SI",S9,S9+AG9)),IF(J_V="SI",S9,S9+AG9)," - ")</f>
        <v>17165</v>
      </c>
      <c r="AZ9" s="123">
        <f>IF(ISNUMBER(IF(J_V="SI",T9,T9+AH9)),IF(J_V="SI",T9,T9+AH9)," - ")</f>
        <v>10616</v>
      </c>
      <c r="BA9" s="124">
        <f>IF(ISNUMBER(IF(J_V="SI",U9,U9+AI9)),IF(J_V="SI",U9,U9+AI9)," - ")</f>
        <v>11615</v>
      </c>
      <c r="BB9" s="124">
        <f>IF(ISNUMBER(IF(J_V="SI",V9,V9+AJ9)),IF(J_V="SI",V9,V9+AJ9)," - ")</f>
        <v>16167</v>
      </c>
      <c r="BC9" s="125">
        <f>IF(ISNUMBER(X9),X9," - ")</f>
        <v>6106</v>
      </c>
      <c r="BD9" s="126">
        <f>IF(ISNUMBER(BA9/AZ9),BA9/AZ9," - ")</f>
        <v>1.0941032403918614</v>
      </c>
      <c r="BE9" s="127">
        <f>IF(ISNUMBER(BB9/BA9),BB9/BA9, " - ")</f>
        <v>1.3919070167886354</v>
      </c>
      <c r="BF9" s="127">
        <f>IF(ISNUMBER(BC9/BA9),BC9/BA9, " - ")</f>
        <v>0.52569952647438656</v>
      </c>
      <c r="BG9" s="195">
        <f>IF(ISNUMBER((AY9+AZ9)/BA9),(AY9+AZ9)/BA9," - ")</f>
        <v>2.391820921222557</v>
      </c>
      <c r="BH9" s="153">
        <v>14</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389</v>
      </c>
      <c r="J10" s="180">
        <v>150</v>
      </c>
      <c r="K10" s="180">
        <v>145</v>
      </c>
      <c r="L10" s="180">
        <v>394</v>
      </c>
      <c r="M10" s="180">
        <v>73</v>
      </c>
      <c r="N10" s="180">
        <v>47</v>
      </c>
      <c r="O10" s="180">
        <v>16</v>
      </c>
      <c r="P10" s="180">
        <v>15</v>
      </c>
      <c r="Q10" s="180">
        <v>7</v>
      </c>
      <c r="R10" s="180">
        <v>179</v>
      </c>
      <c r="S10" s="180">
        <v>274</v>
      </c>
      <c r="T10" s="180">
        <v>153</v>
      </c>
      <c r="U10" s="180">
        <v>111</v>
      </c>
      <c r="V10" s="180">
        <v>316</v>
      </c>
      <c r="W10" s="180">
        <v>58</v>
      </c>
      <c r="X10" s="187">
        <v>42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3</v>
      </c>
      <c r="AP10" s="154">
        <v>3</v>
      </c>
      <c r="AQ10" s="153">
        <v>3</v>
      </c>
      <c r="AR10" s="154">
        <v>3</v>
      </c>
      <c r="AS10" s="338" t="s">
        <v>785</v>
      </c>
      <c r="AT10" s="191"/>
      <c r="AU10" s="199"/>
      <c r="AV10" s="191"/>
      <c r="AW10" s="199"/>
      <c r="AX10" s="191"/>
      <c r="AY10" s="128">
        <f t="shared" ref="AY10:BC10" si="0">IF(ISNUMBER(S10),S10," - ")</f>
        <v>274</v>
      </c>
      <c r="AZ10" s="129">
        <f t="shared" si="0"/>
        <v>153</v>
      </c>
      <c r="BA10" s="129">
        <f t="shared" si="0"/>
        <v>111</v>
      </c>
      <c r="BB10" s="129">
        <f t="shared" si="0"/>
        <v>316</v>
      </c>
      <c r="BC10" s="125">
        <f t="shared" si="0"/>
        <v>58</v>
      </c>
      <c r="BD10" s="126">
        <f>IF(ISNUMBER(BA10/AZ10),BA10/AZ10," - ")</f>
        <v>0.72549019607843135</v>
      </c>
      <c r="BE10" s="127">
        <f>IF(ISNUMBER(BB10/BA10),BB10/BA10, " - ")</f>
        <v>2.8468468468468466</v>
      </c>
      <c r="BF10" s="127">
        <f>IF(ISNUMBER(BC10/BA10),BC10/BA10, " - ")</f>
        <v>0.52252252252252251</v>
      </c>
      <c r="BG10" s="195">
        <f>IF(ISNUMBER((AY10+AZ10)/BA10),(AY10+AZ10)/BA10," - ")</f>
        <v>3.8468468468468466</v>
      </c>
      <c r="BH10" s="154">
        <v>3</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999</v>
      </c>
      <c r="J11" s="182">
        <v>819</v>
      </c>
      <c r="K11" s="182">
        <v>890</v>
      </c>
      <c r="L11" s="182">
        <v>928</v>
      </c>
      <c r="M11" s="182">
        <v>359</v>
      </c>
      <c r="N11" s="182">
        <v>901</v>
      </c>
      <c r="O11" s="180">
        <v>429</v>
      </c>
      <c r="P11" s="182">
        <v>85</v>
      </c>
      <c r="Q11" s="182">
        <v>163</v>
      </c>
      <c r="R11" s="182">
        <v>1104</v>
      </c>
      <c r="S11" s="182">
        <v>1082</v>
      </c>
      <c r="T11" s="182">
        <v>926</v>
      </c>
      <c r="U11" s="182">
        <v>847</v>
      </c>
      <c r="V11" s="182">
        <v>1135</v>
      </c>
      <c r="W11" s="182">
        <v>325</v>
      </c>
      <c r="X11" s="188">
        <v>1027</v>
      </c>
      <c r="Y11" s="190">
        <v>597</v>
      </c>
      <c r="Z11" s="180">
        <v>654</v>
      </c>
      <c r="AA11" s="180">
        <v>722</v>
      </c>
      <c r="AB11" s="180">
        <v>529</v>
      </c>
      <c r="AC11" s="182">
        <v>0</v>
      </c>
      <c r="AD11" s="182">
        <v>0</v>
      </c>
      <c r="AE11" s="182">
        <v>0</v>
      </c>
      <c r="AF11" s="188">
        <v>0</v>
      </c>
      <c r="AG11" s="201">
        <v>398</v>
      </c>
      <c r="AH11" s="182">
        <v>827</v>
      </c>
      <c r="AI11" s="182">
        <v>853</v>
      </c>
      <c r="AJ11" s="202">
        <v>430</v>
      </c>
      <c r="AK11" s="181">
        <v>0</v>
      </c>
      <c r="AL11" s="182">
        <v>0</v>
      </c>
      <c r="AM11" s="182">
        <v>0</v>
      </c>
      <c r="AN11" s="188">
        <v>0</v>
      </c>
      <c r="AO11" s="258">
        <v>4</v>
      </c>
      <c r="AP11" s="154">
        <v>4</v>
      </c>
      <c r="AQ11" s="154">
        <v>4</v>
      </c>
      <c r="AR11" s="153">
        <v>4</v>
      </c>
      <c r="AS11" s="339" t="s">
        <v>793</v>
      </c>
      <c r="AT11" s="202"/>
      <c r="AU11" s="201"/>
      <c r="AV11" s="202"/>
      <c r="AW11" s="201"/>
      <c r="AX11" s="202"/>
      <c r="AY11" s="126">
        <f t="shared" ref="AY11:BB12" si="1">IF(ISNUMBER(IF(J_V="SI",S11,S11+AG11)),IF(J_V="SI",S11,S11+AG11)," - ")</f>
        <v>1480</v>
      </c>
      <c r="AZ11" s="127">
        <f t="shared" si="1"/>
        <v>1753</v>
      </c>
      <c r="BA11" s="127">
        <f t="shared" si="1"/>
        <v>1700</v>
      </c>
      <c r="BB11" s="127">
        <f t="shared" si="1"/>
        <v>1565</v>
      </c>
      <c r="BC11" s="125">
        <f>IF(ISNUMBER(X11),X11," - ")</f>
        <v>1027</v>
      </c>
      <c r="BD11" s="126">
        <f t="shared" ref="BD11:BD12" si="2">IF(ISNUMBER(BA11/AZ11),BA11/AZ11," - ")</f>
        <v>0.96976611523103251</v>
      </c>
      <c r="BE11" s="127">
        <f t="shared" ref="BE11:BE12" si="3">IF(ISNUMBER(BB11/BA11),BB11/BA11, " - ")</f>
        <v>0.9205882352941176</v>
      </c>
      <c r="BF11" s="127">
        <f t="shared" ref="BF11:BF12" si="4">IF(ISNUMBER(BC11/BA11),BC11/BA11, " - ")</f>
        <v>0.60411764705882354</v>
      </c>
      <c r="BG11" s="195">
        <f t="shared" ref="BG11:BG12" si="5">IF(ISNUMBER((AY11+AZ11)/BA11),(AY11+AZ11)/BA11," - ")</f>
        <v>1.901764705882353</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14656</v>
      </c>
      <c r="J13" s="183">
        <f t="shared" si="6"/>
        <v>7354</v>
      </c>
      <c r="K13" s="183">
        <f t="shared" si="6"/>
        <v>8854</v>
      </c>
      <c r="L13" s="183">
        <f t="shared" si="6"/>
        <v>13503</v>
      </c>
      <c r="M13" s="183">
        <f t="shared" si="6"/>
        <v>3316</v>
      </c>
      <c r="N13" s="183">
        <f t="shared" si="6"/>
        <v>4537</v>
      </c>
      <c r="O13" s="183">
        <f t="shared" si="6"/>
        <v>3290</v>
      </c>
      <c r="P13" s="183">
        <f t="shared" si="6"/>
        <v>1961</v>
      </c>
      <c r="Q13" s="183">
        <f t="shared" si="6"/>
        <v>4471</v>
      </c>
      <c r="R13" s="183">
        <f t="shared" si="6"/>
        <v>27606</v>
      </c>
      <c r="S13" s="183">
        <f t="shared" si="6"/>
        <v>18259</v>
      </c>
      <c r="T13" s="183">
        <f t="shared" si="6"/>
        <v>11565</v>
      </c>
      <c r="U13" s="183">
        <f t="shared" si="6"/>
        <v>12400</v>
      </c>
      <c r="V13" s="183">
        <f t="shared" si="6"/>
        <v>17399</v>
      </c>
      <c r="W13" s="183">
        <f t="shared" si="6"/>
        <v>3368</v>
      </c>
      <c r="X13" s="183">
        <f t="shared" si="6"/>
        <v>7175</v>
      </c>
      <c r="Y13" s="183">
        <f t="shared" si="6"/>
        <v>985</v>
      </c>
      <c r="Z13" s="183">
        <f t="shared" si="6"/>
        <v>943</v>
      </c>
      <c r="AA13" s="183">
        <f t="shared" si="6"/>
        <v>1092</v>
      </c>
      <c r="AB13" s="183">
        <f t="shared" si="6"/>
        <v>836</v>
      </c>
      <c r="AC13" s="183">
        <f t="shared" si="6"/>
        <v>0</v>
      </c>
      <c r="AD13" s="183">
        <f t="shared" si="6"/>
        <v>0</v>
      </c>
      <c r="AE13" s="183">
        <f t="shared" si="6"/>
        <v>0</v>
      </c>
      <c r="AF13" s="183">
        <f>SUBTOTAL(9,AF9:AF12)</f>
        <v>0</v>
      </c>
      <c r="AG13" s="183">
        <f t="shared" ref="AG13:AT13" si="7">SUBTOTAL(9,AG8:AG12)</f>
        <v>660</v>
      </c>
      <c r="AH13" s="183">
        <f t="shared" si="7"/>
        <v>957</v>
      </c>
      <c r="AI13" s="183">
        <f t="shared" si="7"/>
        <v>1026</v>
      </c>
      <c r="AJ13" s="183">
        <f t="shared" si="7"/>
        <v>649</v>
      </c>
      <c r="AK13" s="183">
        <f t="shared" si="7"/>
        <v>0</v>
      </c>
      <c r="AL13" s="183">
        <f t="shared" si="7"/>
        <v>0</v>
      </c>
      <c r="AM13" s="183">
        <f t="shared" si="7"/>
        <v>0</v>
      </c>
      <c r="AN13" s="183">
        <f t="shared" si="7"/>
        <v>0</v>
      </c>
      <c r="AO13" s="183">
        <f t="shared" si="7"/>
        <v>21</v>
      </c>
      <c r="AP13" s="183">
        <f t="shared" si="7"/>
        <v>21</v>
      </c>
      <c r="AQ13" s="183">
        <f t="shared" si="7"/>
        <v>21</v>
      </c>
      <c r="AR13" s="183">
        <f t="shared" si="7"/>
        <v>21</v>
      </c>
      <c r="AS13" s="183">
        <f t="shared" si="7"/>
        <v>0</v>
      </c>
      <c r="AT13" s="183">
        <f t="shared" si="7"/>
        <v>0</v>
      </c>
      <c r="AU13" s="203"/>
      <c r="AV13" s="132"/>
      <c r="AW13" s="203"/>
      <c r="AX13" s="132"/>
      <c r="AY13" s="183">
        <f>SUBTOTAL(9,AY8:AY12)</f>
        <v>18919</v>
      </c>
      <c r="AZ13" s="183">
        <f>SUBTOTAL(9,AZ8:AZ12)</f>
        <v>12522</v>
      </c>
      <c r="BA13" s="183">
        <f>SUBTOTAL(9,BA8:BA12)</f>
        <v>13426</v>
      </c>
      <c r="BB13" s="183">
        <f>SUBTOTAL(9,BB8:BB12)</f>
        <v>18048</v>
      </c>
      <c r="BC13" s="183">
        <f>SUBTOTAL(9,BC8:BC12)</f>
        <v>7191</v>
      </c>
      <c r="BD13" s="204">
        <f>IF(ISNUMBER(BA13/AZ13),BA13/AZ13," - ")</f>
        <v>1.0721929404248522</v>
      </c>
      <c r="BE13" s="205">
        <f>IF(ISNUMBER(BB13/BA13),BB13/BA13, " - ")</f>
        <v>1.3442574109935945</v>
      </c>
      <c r="BF13" s="205">
        <f>IF(ISNUMBER(BC13/BA13),BC13/BA13, " - ")</f>
        <v>0.53560256219276037</v>
      </c>
      <c r="BG13" s="206">
        <f>IF(ISNUMBER((AY13+AZ13)/BA13),(AY13+AZ13)/BA13," - ")</f>
        <v>2.3417994935200359</v>
      </c>
      <c r="BH13" s="139">
        <f>SUBTOTAL(9,BH8:BH12)</f>
        <v>21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4940</v>
      </c>
      <c r="J15" s="182">
        <v>8378</v>
      </c>
      <c r="K15" s="182">
        <v>8473</v>
      </c>
      <c r="L15" s="182">
        <v>4926</v>
      </c>
      <c r="M15" s="182">
        <v>1070</v>
      </c>
      <c r="N15" s="182">
        <v>5591</v>
      </c>
      <c r="O15" s="180">
        <v>458</v>
      </c>
      <c r="P15" s="182">
        <v>440</v>
      </c>
      <c r="Q15" s="182">
        <v>474</v>
      </c>
      <c r="R15" s="182">
        <v>908</v>
      </c>
      <c r="S15" s="182">
        <v>4612</v>
      </c>
      <c r="T15" s="182">
        <v>8770</v>
      </c>
      <c r="U15" s="182">
        <v>8897</v>
      </c>
      <c r="V15" s="182">
        <v>4609</v>
      </c>
      <c r="W15" s="182">
        <v>1085</v>
      </c>
      <c r="X15" s="188">
        <v>5752</v>
      </c>
      <c r="Y15" s="201">
        <v>0</v>
      </c>
      <c r="Z15" s="182">
        <v>0</v>
      </c>
      <c r="AA15" s="182">
        <v>0</v>
      </c>
      <c r="AB15" s="182">
        <v>0</v>
      </c>
      <c r="AC15" s="182">
        <v>25</v>
      </c>
      <c r="AD15" s="182">
        <v>189</v>
      </c>
      <c r="AE15" s="182">
        <v>202</v>
      </c>
      <c r="AF15" s="188">
        <v>12</v>
      </c>
      <c r="AG15" s="201">
        <v>0</v>
      </c>
      <c r="AH15" s="182">
        <v>0</v>
      </c>
      <c r="AI15" s="182">
        <v>0</v>
      </c>
      <c r="AJ15" s="202">
        <v>0</v>
      </c>
      <c r="AK15" s="181">
        <v>8</v>
      </c>
      <c r="AL15" s="182">
        <v>183</v>
      </c>
      <c r="AM15" s="182">
        <v>183</v>
      </c>
      <c r="AN15" s="188">
        <v>8</v>
      </c>
      <c r="AO15" s="258">
        <v>8</v>
      </c>
      <c r="AP15" s="154">
        <v>8</v>
      </c>
      <c r="AQ15" s="154">
        <v>8</v>
      </c>
      <c r="AR15" s="154">
        <v>8</v>
      </c>
      <c r="AS15" s="339" t="s">
        <v>522</v>
      </c>
      <c r="AT15" s="202" t="s">
        <v>326</v>
      </c>
      <c r="AU15" s="201"/>
      <c r="AV15" s="202"/>
      <c r="AW15" s="201"/>
      <c r="AX15" s="202"/>
      <c r="AY15" s="128">
        <f t="shared" ref="AY15:BB16" si="9">IF(ISNUMBER(IF(D_I="SI",S15,S15+AK15)),IF(D_I="SI",S15,S15+AK15)," - ")</f>
        <v>4612</v>
      </c>
      <c r="AZ15" s="129">
        <f t="shared" si="9"/>
        <v>8770</v>
      </c>
      <c r="BA15" s="129">
        <f t="shared" si="9"/>
        <v>8897</v>
      </c>
      <c r="BB15" s="129">
        <f t="shared" si="9"/>
        <v>4609</v>
      </c>
      <c r="BC15" s="125">
        <f>IF(ISNUMBER(W15),W15," - ")</f>
        <v>1085</v>
      </c>
      <c r="BD15" s="126">
        <f>IF(ISNUMBER(BA15/AZ15),BA15/AZ15," - ")</f>
        <v>1.0144811858608893</v>
      </c>
      <c r="BE15" s="127">
        <f>IF(ISNUMBER(BB15/BA15),BB15/BA15, " - ")</f>
        <v>0.51803978869281775</v>
      </c>
      <c r="BF15" s="127">
        <f>IF(ISNUMBER(BC15/BA15),BC15/BA15, " - ")</f>
        <v>0.12195121951219512</v>
      </c>
      <c r="BG15" s="195">
        <f t="shared" ref="BG15:BG16" si="10">IF(ISNUMBER((AY15+AZ15)/BA15),(AY15+AZ15)/BA15," - ")</f>
        <v>1.5041025064628526</v>
      </c>
      <c r="BH15" s="154">
        <v>8</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614</v>
      </c>
      <c r="J17" s="182">
        <v>1384</v>
      </c>
      <c r="K17" s="182">
        <v>1469</v>
      </c>
      <c r="L17" s="182">
        <v>531</v>
      </c>
      <c r="M17" s="182">
        <v>260</v>
      </c>
      <c r="N17" s="182">
        <v>1007</v>
      </c>
      <c r="O17" s="182">
        <v>33</v>
      </c>
      <c r="P17" s="182">
        <v>75</v>
      </c>
      <c r="Q17" s="182">
        <v>44</v>
      </c>
      <c r="R17" s="182">
        <v>134</v>
      </c>
      <c r="S17" s="182">
        <v>396</v>
      </c>
      <c r="T17" s="182">
        <v>1257</v>
      </c>
      <c r="U17" s="182">
        <v>1188</v>
      </c>
      <c r="V17" s="182">
        <v>466</v>
      </c>
      <c r="W17" s="182">
        <v>278</v>
      </c>
      <c r="X17" s="188">
        <v>745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3">
        <v>3</v>
      </c>
      <c r="AR17" s="154">
        <v>3</v>
      </c>
      <c r="AS17" s="338" t="s">
        <v>784</v>
      </c>
      <c r="AT17" s="208"/>
      <c r="AU17" s="199"/>
      <c r="AV17" s="208"/>
      <c r="AW17" s="199"/>
      <c r="AX17" s="208"/>
      <c r="AY17" s="128">
        <f t="shared" ref="AY17:BB17" si="14">IF(ISNUMBER(S17),S17," - ")</f>
        <v>396</v>
      </c>
      <c r="AZ17" s="129">
        <f t="shared" si="14"/>
        <v>1257</v>
      </c>
      <c r="BA17" s="129">
        <f t="shared" si="14"/>
        <v>1188</v>
      </c>
      <c r="BB17" s="129">
        <f t="shared" si="14"/>
        <v>466</v>
      </c>
      <c r="BC17" s="125">
        <f>IF(ISNUMBER(W17),W17," - ")</f>
        <v>278</v>
      </c>
      <c r="BD17" s="126">
        <f>IF(ISNUMBER(BA17/AZ17),BA17/AZ17," - ")</f>
        <v>0.94510739856801906</v>
      </c>
      <c r="BE17" s="127">
        <f>IF(ISNUMBER(BB17/BA17),BB17/BA17, " - ")</f>
        <v>0.39225589225589225</v>
      </c>
      <c r="BF17" s="127">
        <f>IF(ISNUMBER(BC17/BA17),BC17/BA17, " - ")</f>
        <v>0.234006734006734</v>
      </c>
      <c r="BG17" s="195">
        <f>IF(ISNUMBER((AY17+AZ17)/BA17),(AY17+AZ17)/BA17," - ")</f>
        <v>1.3914141414141414</v>
      </c>
      <c r="BH17" s="154">
        <v>3</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5554</v>
      </c>
      <c r="J18" s="183">
        <f t="shared" si="15"/>
        <v>9762</v>
      </c>
      <c r="K18" s="183">
        <f t="shared" si="15"/>
        <v>9942</v>
      </c>
      <c r="L18" s="183">
        <f t="shared" si="15"/>
        <v>5457</v>
      </c>
      <c r="M18" s="183">
        <f t="shared" si="15"/>
        <v>1330</v>
      </c>
      <c r="N18" s="183">
        <f t="shared" si="15"/>
        <v>6598</v>
      </c>
      <c r="O18" s="183">
        <f t="shared" si="15"/>
        <v>491</v>
      </c>
      <c r="P18" s="183">
        <f t="shared" si="15"/>
        <v>515</v>
      </c>
      <c r="Q18" s="183">
        <f t="shared" si="15"/>
        <v>518</v>
      </c>
      <c r="R18" s="183">
        <f t="shared" si="15"/>
        <v>1042</v>
      </c>
      <c r="S18" s="183">
        <f t="shared" si="15"/>
        <v>5008</v>
      </c>
      <c r="T18" s="183">
        <f t="shared" si="15"/>
        <v>10027</v>
      </c>
      <c r="U18" s="183">
        <f t="shared" si="15"/>
        <v>10085</v>
      </c>
      <c r="V18" s="183">
        <f t="shared" si="15"/>
        <v>5075</v>
      </c>
      <c r="W18" s="183">
        <f t="shared" si="15"/>
        <v>1363</v>
      </c>
      <c r="X18" s="183">
        <f t="shared" si="15"/>
        <v>6497</v>
      </c>
      <c r="Y18" s="183">
        <f t="shared" si="15"/>
        <v>0</v>
      </c>
      <c r="Z18" s="183">
        <f t="shared" si="15"/>
        <v>0</v>
      </c>
      <c r="AA18" s="183">
        <f t="shared" si="15"/>
        <v>0</v>
      </c>
      <c r="AB18" s="183">
        <f t="shared" si="15"/>
        <v>0</v>
      </c>
      <c r="AC18" s="183">
        <f t="shared" si="15"/>
        <v>25</v>
      </c>
      <c r="AD18" s="183">
        <f t="shared" si="15"/>
        <v>189</v>
      </c>
      <c r="AE18" s="183">
        <f t="shared" si="15"/>
        <v>202</v>
      </c>
      <c r="AF18" s="183">
        <f t="shared" si="15"/>
        <v>12</v>
      </c>
      <c r="AG18" s="183">
        <f t="shared" si="15"/>
        <v>0</v>
      </c>
      <c r="AH18" s="183">
        <f t="shared" si="15"/>
        <v>0</v>
      </c>
      <c r="AI18" s="183">
        <f t="shared" si="15"/>
        <v>0</v>
      </c>
      <c r="AJ18" s="183">
        <f t="shared" si="15"/>
        <v>0</v>
      </c>
      <c r="AK18" s="183">
        <f t="shared" si="15"/>
        <v>8</v>
      </c>
      <c r="AL18" s="183">
        <f t="shared" si="15"/>
        <v>183</v>
      </c>
      <c r="AM18" s="183">
        <f t="shared" si="15"/>
        <v>183</v>
      </c>
      <c r="AN18" s="183">
        <f t="shared" si="15"/>
        <v>8</v>
      </c>
      <c r="AO18" s="183">
        <f t="shared" si="15"/>
        <v>11</v>
      </c>
      <c r="AP18" s="183">
        <f t="shared" si="15"/>
        <v>11</v>
      </c>
      <c r="AQ18" s="183">
        <f t="shared" si="15"/>
        <v>11</v>
      </c>
      <c r="AR18" s="183">
        <f t="shared" si="15"/>
        <v>11</v>
      </c>
      <c r="AS18" s="183">
        <f t="shared" si="15"/>
        <v>0</v>
      </c>
      <c r="AT18" s="183">
        <f t="shared" si="15"/>
        <v>0</v>
      </c>
      <c r="AU18" s="203"/>
      <c r="AV18" s="132"/>
      <c r="AW18" s="203"/>
      <c r="AX18" s="132"/>
      <c r="AY18" s="183">
        <f>SUBTOTAL(9,AY14:AY17)</f>
        <v>5008</v>
      </c>
      <c r="AZ18" s="183">
        <f>SUBTOTAL(9,AZ14:AZ17)</f>
        <v>10027</v>
      </c>
      <c r="BA18" s="183">
        <f>SUBTOTAL(9,BA14:BA17)</f>
        <v>10085</v>
      </c>
      <c r="BB18" s="183">
        <f>SUBTOTAL(9,BB14:BB17)</f>
        <v>5075</v>
      </c>
      <c r="BC18" s="183">
        <f>SUBTOTAL(9,BC14:BC17)</f>
        <v>1363</v>
      </c>
      <c r="BD18" s="204">
        <f>IF(ISNUMBER(BA18/AZ18),BA18/AZ18," - ")</f>
        <v>1.005784382168146</v>
      </c>
      <c r="BE18" s="205">
        <f>IF(ISNUMBER(BB18/BA18),BB18/BA18, " - ")</f>
        <v>0.50322260783341599</v>
      </c>
      <c r="BF18" s="205">
        <f>IF(ISNUMBER(BC18/BA18),BC18/BA18, " - ")</f>
        <v>0.13515121467526028</v>
      </c>
      <c r="BG18" s="206">
        <f>IF(ISNUMBER((AY18+AZ18)/BA18),(AY18+AZ18)/BA18," - ")</f>
        <v>1.4908279623202776</v>
      </c>
      <c r="BH18" s="183">
        <f>SUBTOTAL(9,BH14:BH17)</f>
        <v>11</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20210</v>
      </c>
      <c r="J19" s="134">
        <f t="shared" si="18"/>
        <v>17116</v>
      </c>
      <c r="K19" s="134">
        <f t="shared" si="18"/>
        <v>18796</v>
      </c>
      <c r="L19" s="134">
        <f t="shared" si="18"/>
        <v>18960</v>
      </c>
      <c r="M19" s="134">
        <f t="shared" si="18"/>
        <v>4646</v>
      </c>
      <c r="N19" s="134">
        <f t="shared" si="18"/>
        <v>11135</v>
      </c>
      <c r="O19" s="134">
        <f t="shared" si="18"/>
        <v>3781</v>
      </c>
      <c r="P19" s="134">
        <f t="shared" si="18"/>
        <v>2476</v>
      </c>
      <c r="Q19" s="134">
        <f t="shared" si="18"/>
        <v>4989</v>
      </c>
      <c r="R19" s="134">
        <f t="shared" si="18"/>
        <v>28648</v>
      </c>
      <c r="S19" s="134">
        <f t="shared" si="18"/>
        <v>23267</v>
      </c>
      <c r="T19" s="134">
        <f t="shared" si="18"/>
        <v>21592</v>
      </c>
      <c r="U19" s="134">
        <f t="shared" si="18"/>
        <v>22485</v>
      </c>
      <c r="V19" s="134">
        <f t="shared" si="18"/>
        <v>22474</v>
      </c>
      <c r="W19" s="134">
        <f t="shared" si="18"/>
        <v>4731</v>
      </c>
      <c r="X19" s="134">
        <f t="shared" si="18"/>
        <v>13672</v>
      </c>
      <c r="Y19" s="134">
        <f t="shared" si="18"/>
        <v>985</v>
      </c>
      <c r="Z19" s="134">
        <f t="shared" si="18"/>
        <v>943</v>
      </c>
      <c r="AA19" s="134">
        <f t="shared" si="18"/>
        <v>1092</v>
      </c>
      <c r="AB19" s="134">
        <f t="shared" si="18"/>
        <v>836</v>
      </c>
      <c r="AC19" s="134">
        <f t="shared" si="18"/>
        <v>25</v>
      </c>
      <c r="AD19" s="134">
        <f t="shared" si="18"/>
        <v>189</v>
      </c>
      <c r="AE19" s="134">
        <f t="shared" si="18"/>
        <v>202</v>
      </c>
      <c r="AF19" s="134">
        <f t="shared" si="18"/>
        <v>12</v>
      </c>
      <c r="AG19" s="134">
        <f t="shared" si="18"/>
        <v>660</v>
      </c>
      <c r="AH19" s="134">
        <f t="shared" si="18"/>
        <v>957</v>
      </c>
      <c r="AI19" s="134">
        <f t="shared" si="18"/>
        <v>1026</v>
      </c>
      <c r="AJ19" s="134">
        <f t="shared" si="18"/>
        <v>649</v>
      </c>
      <c r="AK19" s="134">
        <f t="shared" si="18"/>
        <v>8</v>
      </c>
      <c r="AL19" s="134">
        <f t="shared" si="18"/>
        <v>183</v>
      </c>
      <c r="AM19" s="134">
        <f t="shared" si="18"/>
        <v>183</v>
      </c>
      <c r="AN19" s="209">
        <f t="shared" si="18"/>
        <v>8</v>
      </c>
      <c r="AO19" s="210">
        <v>29</v>
      </c>
      <c r="AP19" s="210">
        <v>29</v>
      </c>
      <c r="AQ19" s="210">
        <v>29</v>
      </c>
      <c r="AR19" s="210">
        <v>29</v>
      </c>
      <c r="AS19" s="152">
        <f t="shared" si="18"/>
        <v>0</v>
      </c>
      <c r="AT19" s="152">
        <f t="shared" si="18"/>
        <v>0</v>
      </c>
      <c r="AU19" s="210"/>
      <c r="AV19" s="211"/>
      <c r="AW19" s="210"/>
      <c r="AX19" s="211"/>
      <c r="AY19" s="133">
        <f>SUBTOTAL(9,AY9:AY18)</f>
        <v>23927</v>
      </c>
      <c r="AZ19" s="134">
        <f>SUBTOTAL(9,AZ9:AZ18)</f>
        <v>22549</v>
      </c>
      <c r="BA19" s="134">
        <f>SUBTOTAL(9,BA9:BA18)</f>
        <v>23511</v>
      </c>
      <c r="BB19" s="134">
        <f>SUBTOTAL(9,BB9:BB18)</f>
        <v>23123</v>
      </c>
      <c r="BC19" s="135">
        <f>SUBTOTAL(9,BC9:BC18)</f>
        <v>8554</v>
      </c>
      <c r="BD19" s="212">
        <f>IF(ISNUMBER(BA19/AZ19),BA19/AZ19," - ")</f>
        <v>1.042662645793605</v>
      </c>
      <c r="BE19" s="209">
        <f>IF(ISNUMBER(BB19/BA19),BB19/BA19, " - ")</f>
        <v>0.98349708647016287</v>
      </c>
      <c r="BF19" s="209">
        <f>IF(ISNUMBER(BC19/BA19),BC19/BA19, " - ")</f>
        <v>0.36382969673769727</v>
      </c>
      <c r="BG19" s="135">
        <f>IF(ISNUMBER((AY19+AZ19)/BA19),(AY19+AZ19)/BA19," - ")</f>
        <v>1.9767768278678066</v>
      </c>
      <c r="BH19" s="210">
        <f>SUBTOTAL(9,BH9:BH18)</f>
        <v>32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iqov9GS/gizItVXqRT5mNsOhnJxK998nLN7DRGhskEtBiR1pO3kqVJ/gN6x1/z2FKv4CDG1NkJQFCxwzEFYsA==" saltValue="HQVNZU+tcYWOUCvcj7iVB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67i5vLkC+h2Du+INfYSaxfpB44rswajpPB5hb1gBpnzDaseCcaa0EoHLEq5gbtdNW5ZNJQEb9heqhcq2g8ZuA==" saltValue="OlMSKEKZLWWelDGkhGucM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PALMAS DE GRAN CANARIA, LAS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14</v>
      </c>
      <c r="B9" s="500" t="s">
        <v>246</v>
      </c>
      <c r="C9" s="159" t="str">
        <f>Datos!A9</f>
        <v xml:space="preserve">Jdos. 1ª Instancia   </v>
      </c>
      <c r="D9" s="501"/>
      <c r="E9" s="259">
        <f>IF(ISNUMBER(Datos!AQ9),Datos!AQ9," - ")</f>
        <v>14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289</v>
      </c>
      <c r="O9" s="333"/>
      <c r="P9" s="333"/>
      <c r="Q9" s="225">
        <f>IF(ISNUMBER(Datos!P9),Datos!P9,0)</f>
        <v>1861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4301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307</v>
      </c>
      <c r="AI9" s="333" t="str">
        <f>IF(ISNUMBER(Datos!CD9),Datos!CD9,"-")</f>
        <v>-</v>
      </c>
      <c r="AJ9" s="333" t="str">
        <f>IF(ISNUMBER(Datos!EN9),Datos!EN9," - ")</f>
        <v xml:space="preserve"> - </v>
      </c>
      <c r="AK9" s="333"/>
      <c r="AL9" s="478"/>
      <c r="AM9" s="334">
        <f>IF(ISNUMBER(Datos!R9),Datos!R9," - ")</f>
        <v>26323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2884</v>
      </c>
      <c r="BD9" s="228">
        <f>IF(ISNUMBER(Datos!N9),Datos!N9," - ")</f>
        <v>3589</v>
      </c>
      <c r="BE9" s="228" t="str">
        <f>IF(ISNUMBER(Datos!BW9),Datos!BW9," - ")</f>
        <v xml:space="preserve"> - </v>
      </c>
      <c r="BF9" s="227" t="str">
        <f>IF(ISNUMBER(Datos!BX9),Datos!BX9," - ")</f>
        <v xml:space="preserve"> - </v>
      </c>
      <c r="BG9" s="242">
        <f>IF(ISNUMBER(IF(J_V="SI",Datos!K9/Datos!J9,(Datos!K9+Datos!AA9)/(Datos!J9+Datos!Z9))),IF(J_V="SI",Datos!K9/Datos!J9,(Datos!K9+Datos!AA9)/(Datos!J9+Datos!Z9))," - ")</f>
        <v>1.2270002996703626</v>
      </c>
      <c r="BH9" s="259">
        <f>IF(ISNUMBER(((IF(J_V="SI",Datos!L9/Datos!K9,(Datos!L9+Datos!AB9)/(Datos!K9+Datos!AA9)))*11)/factor_trimestre),((IF(J_V="SI",Datos!L9/Datos!K9,(Datos!L9+Datos!AB9)/(Datos!K9+Datos!AA9)))*11)/factor_trimestre," - ")</f>
        <v>4.574917572353157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-8.4831206758683025E-2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3</v>
      </c>
      <c r="B10" s="506" t="s">
        <v>246</v>
      </c>
      <c r="C10" s="7" t="str">
        <f>Datos!A10</f>
        <v>Jdos. Violencia contra la mujer/Secc Viol. TI.</v>
      </c>
      <c r="D10" s="507"/>
      <c r="E10" s="259">
        <f>IF(ISNUMBER(Datos!AQ10),Datos!AQ10," - ")</f>
        <v>3</v>
      </c>
      <c r="F10" s="224">
        <f>IF(ISNUMBER(Datos!L10+Datos!K10-Datos!J10),Datos!L10+Datos!K10-Datos!J10," - ")</f>
        <v>389</v>
      </c>
      <c r="G10" s="332">
        <f>IF(ISNUMBER(Datos!I10),Datos!I10," - ")</f>
        <v>389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145</v>
      </c>
      <c r="AC10" s="225">
        <f>IF(ISNUMBER(Datos!Q10),Datos!Q10," - ")</f>
        <v>7</v>
      </c>
      <c r="AD10" s="333"/>
      <c r="AE10" s="483"/>
      <c r="AF10" s="331">
        <f>IF(ISNUMBER(Datos!L10),Datos!L10,"-")</f>
        <v>394</v>
      </c>
      <c r="AG10" s="333"/>
      <c r="AH10" s="333"/>
      <c r="AI10" s="333"/>
      <c r="AJ10" s="333"/>
      <c r="AK10" s="333"/>
      <c r="AL10" s="478"/>
      <c r="AM10" s="334">
        <f>IF(ISNUMBER(Datos!R10),Datos!R10," - ")</f>
        <v>179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73</v>
      </c>
      <c r="BD10" s="228">
        <f>IF(ISNUMBER(Datos!N10),Datos!N10," - ")</f>
        <v>47</v>
      </c>
      <c r="BE10" s="228" t="str">
        <f>IF(ISNUMBER(Datos!BW10),Datos!BW10," - ")</f>
        <v xml:space="preserve"> - </v>
      </c>
      <c r="BF10" s="227" t="str">
        <f>IF(ISNUMBER(Datos!BX10),Datos!BX10," - ")</f>
        <v xml:space="preserve"> - </v>
      </c>
      <c r="BG10" s="242">
        <f>IF(ISNUMBER(Datos!K10/Datos!J10),Datos!K10/Datos!J10," - ")</f>
        <v>0.96666666666666667</v>
      </c>
      <c r="BH10" s="259">
        <f>IF(ISNUMBER(((Datos!L10/Datos!K10)*11)/factor_trimestre),((Datos!L10/Datos!K10)*11)/factor_trimestre," - ")</f>
        <v>8.1517241379310352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4.6783625730994149E-2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4</v>
      </c>
      <c r="B11" s="506" t="s">
        <v>246</v>
      </c>
      <c r="C11" s="7" t="str">
        <f>Datos!A11</f>
        <v xml:space="preserve">Jdos. Familia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654</v>
      </c>
      <c r="O11" s="333"/>
      <c r="P11" s="333"/>
      <c r="Q11" s="225">
        <f>IF(ISNUMBER(Datos!P11),Datos!P11,0)</f>
        <v>85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163</v>
      </c>
      <c r="AD11" s="333"/>
      <c r="AE11" s="483"/>
      <c r="AF11" s="331" t="str">
        <f>IF(ISNUMBER(IF(J_V="SI",Datos!L11,Datos!L11+Datos!AB11)-IF(Monitorios="SI",Datos!CD11,0)),
                          IF(J_V="SI",Datos!L11,Datos!L11+Datos!AB11)-IF(Monitorios="SI",Datos!CD11,0),
                          " - ")</f>
        <v xml:space="preserve"> - </v>
      </c>
      <c r="AG11" s="333"/>
      <c r="AH11" s="333">
        <f>IF(ISNUMBER(Datos!AB11),Datos!AB11,"-")</f>
        <v>529</v>
      </c>
      <c r="AI11" s="333"/>
      <c r="AJ11" s="333"/>
      <c r="AK11" s="333"/>
      <c r="AL11" s="478"/>
      <c r="AM11" s="334">
        <f>IF(ISNUMBER(Datos!R11),Datos!R11," - ")</f>
        <v>1104</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359</v>
      </c>
      <c r="BD11" s="228">
        <f>IF(ISNUMBER(Datos!N11),Datos!N11," - ")</f>
        <v>901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1.0943652410047522</v>
      </c>
      <c r="BH11" s="259">
        <f>IF(ISNUMBER(((IF(J_V="SI",Datos!L11/Datos!K11,(Datos!L11+Datos!AB11)/(Datos!K11+Datos!AA11)))*11)/factor_trimestre),((IF(J_V="SI",Datos!L11/Datos!K11,(Datos!L11+Datos!AB11)/(Datos!K11+Datos!AA11)))*11)/factor_trimestre," - ")</f>
        <v>2.7115384615384617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-6.5989847715736044E-2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21</v>
      </c>
      <c r="F13" s="897">
        <f t="shared" si="0"/>
        <v>389</v>
      </c>
      <c r="G13" s="897">
        <f t="shared" si="0"/>
        <v>389</v>
      </c>
      <c r="H13" s="898">
        <f t="shared" si="0"/>
        <v>0</v>
      </c>
      <c r="I13" s="897">
        <f t="shared" si="0"/>
        <v>0</v>
      </c>
      <c r="J13" s="866">
        <f t="shared" si="0"/>
        <v>0</v>
      </c>
      <c r="K13" s="866">
        <f t="shared" si="0"/>
        <v>0</v>
      </c>
      <c r="L13" s="898">
        <f t="shared" si="0"/>
        <v>0</v>
      </c>
      <c r="M13" s="898">
        <f t="shared" si="0"/>
        <v>0</v>
      </c>
      <c r="N13" s="898">
        <f t="shared" si="0"/>
        <v>943</v>
      </c>
      <c r="O13" s="899">
        <f t="shared" si="0"/>
        <v>0</v>
      </c>
      <c r="P13" s="899">
        <f t="shared" si="0"/>
        <v>0</v>
      </c>
      <c r="Q13" s="898">
        <f t="shared" si="0"/>
        <v>1961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145</v>
      </c>
      <c r="AC13" s="898">
        <f t="shared" si="1"/>
        <v>4471</v>
      </c>
      <c r="AD13" s="898">
        <f t="shared" si="1"/>
        <v>0</v>
      </c>
      <c r="AE13" s="898">
        <f t="shared" si="1"/>
        <v>0</v>
      </c>
      <c r="AF13" s="898">
        <f t="shared" si="1"/>
        <v>394</v>
      </c>
      <c r="AG13" s="898">
        <f t="shared" si="1"/>
        <v>0</v>
      </c>
      <c r="AH13" s="898">
        <f t="shared" si="1"/>
        <v>836</v>
      </c>
      <c r="AI13" s="898">
        <f t="shared" si="1"/>
        <v>0</v>
      </c>
      <c r="AJ13" s="898">
        <f t="shared" si="1"/>
        <v>0</v>
      </c>
      <c r="AK13" s="898">
        <f t="shared" si="1"/>
        <v>0</v>
      </c>
      <c r="AL13" s="898">
        <f t="shared" si="1"/>
        <v>0</v>
      </c>
      <c r="AM13" s="898">
        <f t="shared" si="1"/>
        <v>27606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3316</v>
      </c>
      <c r="BD13" s="898">
        <f t="shared" si="1"/>
        <v>4537</v>
      </c>
      <c r="BE13" s="898">
        <f t="shared" si="1"/>
        <v>0</v>
      </c>
      <c r="BF13" s="898">
        <f t="shared" si="1"/>
        <v>0</v>
      </c>
      <c r="BG13" s="898">
        <f>IF(ISNUMBER(Datos!K13/Datos!J13),Datos!K13/Datos!J13," - ")</f>
        <v>1.203970628229535</v>
      </c>
      <c r="BH13" s="902">
        <f>IF(ISNUMBER(((Datos!L13/Datos!K13)*11)/factor_trimestre),((Datos!L13/Datos!K13)*11)/factor_trimestre," - ")</f>
        <v>4.5752202394398012</v>
      </c>
      <c r="BI13" s="898">
        <f>IF(ISNUMBER('Resol  Asuntos'!D13/NºAsuntos!G13),'Resol  Asuntos'!D13/NºAsuntos!G13," - ")</f>
        <v>0.33340036195455458</v>
      </c>
      <c r="BJ13" s="898" t="str">
        <f>IF(ISNUMBER(Datos!CI13/Datos!CJ13),Datos!CI13/Datos!CJ13," - ")</f>
        <v xml:space="preserve"> - </v>
      </c>
      <c r="BK13" s="898">
        <f>SUBTOTAL(9,BK8:BK12)</f>
        <v>0</v>
      </c>
      <c r="BL13" s="898">
        <f>IF(ISNUMBER((I13-AB13+L13)/(F13)),(I13-AB13+L13)/(F13)," - ")</f>
        <v>-0.37275064267352187</v>
      </c>
      <c r="BM13" s="903">
        <f>SUBTOTAL(9,BM9:BM12)</f>
        <v>-0.10403742874342492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8</v>
      </c>
      <c r="B15" s="593" t="s">
        <v>396</v>
      </c>
      <c r="C15" s="599" t="str">
        <f>Datos!A15</f>
        <v xml:space="preserve">Jdos. Instrucción                               </v>
      </c>
      <c r="D15" s="600"/>
      <c r="E15" s="1164">
        <f>IF(ISNUMBER(Datos!AQ15),Datos!AQ15," - ")</f>
        <v>8</v>
      </c>
      <c r="F15" s="594">
        <f>IF(ISNUMBER(AF15+AB15-Datos!J15-L15),AF15+AB15-Datos!J15-L15," - ")</f>
        <v>5021</v>
      </c>
      <c r="G15" s="597">
        <f>IF(ISNUMBER(IF(D_I="SI",Datos!I15,Datos!I15+Datos!AC15)),IF(D_I="SI",Datos!I15,Datos!I15+Datos!AC15)," - ")</f>
        <v>4940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440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8473</v>
      </c>
      <c r="AC15" s="225">
        <f>IF(ISNUMBER(Datos!Q15),Datos!Q15," - ")</f>
        <v>474</v>
      </c>
      <c r="AD15" s="333"/>
      <c r="AE15" s="483"/>
      <c r="AF15" s="595">
        <f>IF(ISNUMBER(IF(D_I="SI",Datos!L15,Datos!L15+Datos!AF15)),IF(D_I="SI",Datos!L15,Datos!L15+Datos!AF15)," - ")</f>
        <v>4926</v>
      </c>
      <c r="AG15" s="333"/>
      <c r="AH15" s="333"/>
      <c r="AI15" s="333"/>
      <c r="AJ15" s="333"/>
      <c r="AK15" s="333"/>
      <c r="AL15" s="478"/>
      <c r="AM15" s="334">
        <f>IF(ISNUMBER(Datos!R15),Datos!R15," - ")</f>
        <v>908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1070</v>
      </c>
      <c r="BD15" s="228">
        <f>IF(ISNUMBER(Datos!N15),Datos!N15," - ")</f>
        <v>5591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1.0113392217713058</v>
      </c>
      <c r="BH15" s="259">
        <f>IF(ISNUMBER(((IF(D_I="SI",Datos!L15/Datos!K15,(Datos!L15+Datos!AF15)/(Datos!K15+Datos!AE15)))*11)/factor_trimestre),((IF(D_I="SI",Datos!L15/Datos!K15,(Datos!L15+Datos!AF15)/(Datos!K15+Datos!AE15)))*11)/factor_trimestre," - ")</f>
        <v>1.7441284078838664</v>
      </c>
      <c r="BI15" s="242">
        <f>IF(ISNUMBER('Resol  Asuntos'!D15/NºAsuntos!G15),'Resol  Asuntos'!D15/NºAsuntos!G15," - ")</f>
        <v>0.12628348872890358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3</v>
      </c>
      <c r="B17" s="506" t="s">
        <v>396</v>
      </c>
      <c r="C17" s="7" t="str">
        <f>Datos!A17</f>
        <v>Jdos. Violencia contra la mujer/Secc Viol. TI.</v>
      </c>
      <c r="D17" s="507"/>
      <c r="E17" s="1024">
        <f>IF(ISNUMBER(Datos!AQ17),Datos!AQ17," - ")</f>
        <v>3</v>
      </c>
      <c r="F17" s="224" t="str">
        <f>IF(ISNUMBER(AF17+AB17-I17-L17),AF17+AB17-I17-L17," - ")</f>
        <v xml:space="preserve"> - </v>
      </c>
      <c r="G17" s="332">
        <f>IF(ISNUMBER(IF(D_I="SI",Datos!I17,Datos!I17+Datos!AC17)),IF(D_I="SI",Datos!I17,Datos!I17+Datos!AC17)," - ")</f>
        <v>614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1469</v>
      </c>
      <c r="AC17" s="225">
        <f>IF(ISNUMBER(Datos!Q17),Datos!Q17," - ")</f>
        <v>44</v>
      </c>
      <c r="AD17" s="333"/>
      <c r="AE17" s="483"/>
      <c r="AF17" s="331">
        <f>IF(ISNUMBER(Datos!L17),Datos!L17,"-")</f>
        <v>531</v>
      </c>
      <c r="AG17" s="333"/>
      <c r="AH17" s="333"/>
      <c r="AI17" s="333"/>
      <c r="AJ17" s="333"/>
      <c r="AK17" s="333"/>
      <c r="AL17" s="478"/>
      <c r="AM17" s="334">
        <f>IF(ISNUMBER(Datos!R17),Datos!R17," - ")</f>
        <v>134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260</v>
      </c>
      <c r="BD17" s="228">
        <f>IF(ISNUMBER(Datos!N17),Datos!N17," - ")</f>
        <v>1007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1.0614161849710984</v>
      </c>
      <c r="BH17" s="259">
        <f>IF(ISNUMBER(((IF(D_I="SI",Datos!L17/Datos!K17,(Datos!L17+Datos!AF17)/(Datos!K17+Datos!AE17)))*11)/factor_trimestre),((IF(D_I="SI",Datos!L17/Datos!K17,(Datos!L17+Datos!AF17)/(Datos!K17+Datos!AE17)))*11)/factor_trimestre," - ")</f>
        <v>1.0844111640571819</v>
      </c>
      <c r="BI17" s="242">
        <f>IF(ISNUMBER('Resol  Asuntos'!D17/NºAsuntos!G17),'Resol  Asuntos'!D17/NºAsuntos!G17," - ")</f>
        <v>0.17699115044247787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11</v>
      </c>
      <c r="F18" s="897">
        <f>SUBTOTAL(9,F15:F17)</f>
        <v>5021</v>
      </c>
      <c r="G18" s="897">
        <f>SUBTOTAL(9,G15:G17)</f>
        <v>5554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9942</v>
      </c>
      <c r="AC18" s="898">
        <f t="shared" si="4"/>
        <v>518</v>
      </c>
      <c r="AD18" s="898">
        <f t="shared" si="4"/>
        <v>0</v>
      </c>
      <c r="AE18" s="898">
        <f t="shared" si="4"/>
        <v>0</v>
      </c>
      <c r="AF18" s="898">
        <f t="shared" si="4"/>
        <v>5457</v>
      </c>
      <c r="AG18" s="898">
        <f t="shared" si="4"/>
        <v>0</v>
      </c>
      <c r="AH18" s="898">
        <f t="shared" si="4"/>
        <v>0</v>
      </c>
      <c r="AI18" s="898">
        <f t="shared" si="4"/>
        <v>0</v>
      </c>
      <c r="AJ18" s="898">
        <f t="shared" si="4"/>
        <v>0</v>
      </c>
      <c r="AK18" s="898">
        <f t="shared" si="4"/>
        <v>0</v>
      </c>
      <c r="AL18" s="898">
        <f t="shared" si="4"/>
        <v>0</v>
      </c>
      <c r="AM18" s="898">
        <f t="shared" si="4"/>
        <v>1042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1330</v>
      </c>
      <c r="BD18" s="898">
        <f t="shared" si="4"/>
        <v>6598</v>
      </c>
      <c r="BE18" s="898">
        <f t="shared" si="4"/>
        <v>0</v>
      </c>
      <c r="BF18" s="898">
        <f t="shared" si="4"/>
        <v>0</v>
      </c>
      <c r="BG18" s="898">
        <f>IF(ISNUMBER(Datos!K18/Datos!J18),Datos!K18/Datos!J18," - ")</f>
        <v>1.018438844499078</v>
      </c>
      <c r="BH18" s="902">
        <f>IF(ISNUMBER(((Datos!L18/Datos!K18)*11)/factor_trimestre),((Datos!L18/Datos!K18)*11)/factor_trimestre," - ")</f>
        <v>1.646650573325287</v>
      </c>
      <c r="BI18" s="898">
        <f>SUBTOTAL(9,BI15:BI17)</f>
        <v>0.30327463917138142</v>
      </c>
      <c r="BJ18" s="898">
        <f>SUBTOTAL(9,BJ15:BJ17)</f>
        <v>0</v>
      </c>
      <c r="BK18" s="898">
        <f>SUBTOTAL(9,BK15:BK17)</f>
        <v>0</v>
      </c>
      <c r="BL18" s="898">
        <f>IF(ISNUMBER((I18-AB18+L18)/(F18)),(I18-AB18+L18)/(F18)," - ")</f>
        <v>-1.9800836486755626</v>
      </c>
      <c r="BM18" s="904">
        <f>IF(ISNUMBER((Datos!P18-Datos!Q18)/(Datos!R18-Datos!P18+Datos!Q18)),(Datos!P18-Datos!Q18)/(Datos!R18-Datos!P18+Datos!Q18)," - ")</f>
        <v>-2.8708133971291866E-3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32</v>
      </c>
      <c r="F19" s="819">
        <f t="shared" si="6"/>
        <v>5410</v>
      </c>
      <c r="G19" s="819">
        <f t="shared" si="6"/>
        <v>5943</v>
      </c>
      <c r="H19" s="821">
        <f t="shared" si="6"/>
        <v>0</v>
      </c>
      <c r="I19" s="819">
        <f t="shared" si="6"/>
        <v>0</v>
      </c>
      <c r="J19" s="821">
        <f t="shared" si="6"/>
        <v>0</v>
      </c>
      <c r="K19" s="821">
        <f t="shared" si="6"/>
        <v>0</v>
      </c>
      <c r="L19" s="880">
        <f t="shared" si="6"/>
        <v>0</v>
      </c>
      <c r="M19" s="880">
        <f t="shared" si="6"/>
        <v>0</v>
      </c>
      <c r="N19" s="880">
        <f t="shared" si="6"/>
        <v>943</v>
      </c>
      <c r="O19" s="880">
        <f t="shared" si="6"/>
        <v>0</v>
      </c>
      <c r="P19" s="880">
        <f t="shared" si="6"/>
        <v>0</v>
      </c>
      <c r="Q19" s="821">
        <f t="shared" si="6"/>
        <v>2476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10087</v>
      </c>
      <c r="AC19" s="820">
        <f t="shared" si="7"/>
        <v>4989</v>
      </c>
      <c r="AD19" s="820">
        <f t="shared" si="7"/>
        <v>0</v>
      </c>
      <c r="AE19" s="820">
        <f t="shared" si="7"/>
        <v>0</v>
      </c>
      <c r="AF19" s="827">
        <f t="shared" si="7"/>
        <v>5851</v>
      </c>
      <c r="AG19" s="827">
        <f t="shared" si="7"/>
        <v>0</v>
      </c>
      <c r="AH19" s="827">
        <f t="shared" si="7"/>
        <v>836</v>
      </c>
      <c r="AI19" s="827">
        <f t="shared" si="7"/>
        <v>0</v>
      </c>
      <c r="AJ19" s="820">
        <f t="shared" si="7"/>
        <v>0</v>
      </c>
      <c r="AK19" s="827">
        <f t="shared" si="7"/>
        <v>0</v>
      </c>
      <c r="AL19" s="827">
        <f t="shared" si="7"/>
        <v>0</v>
      </c>
      <c r="AM19" s="827">
        <f t="shared" si="7"/>
        <v>28648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4646</v>
      </c>
      <c r="BD19" s="819">
        <f t="shared" si="7"/>
        <v>11135</v>
      </c>
      <c r="BE19" s="819">
        <f t="shared" si="7"/>
        <v>0</v>
      </c>
      <c r="BF19" s="829">
        <f t="shared" si="7"/>
        <v>0</v>
      </c>
      <c r="BG19" s="914">
        <f>IF(ISNUMBER(Datos!K19/Datos!J19),Datos!K19/Datos!J19," - ")</f>
        <v>1.0981537742463192</v>
      </c>
      <c r="BH19" s="914">
        <f>IF(ISNUMBER(((Datos!L19/Datos!K19)*11)/factor_trimestre),((Datos!L19/Datos!K19)*11)/factor_trimestre," - ")</f>
        <v>3.0261757820812942</v>
      </c>
      <c r="BI19" s="812">
        <f>IF(ISNUMBER(Datos!J19/Datos!I19),Datos!J19/Datos!I19," - ")</f>
        <v>0.84690747154873824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-1.8645101663585952</v>
      </c>
      <c r="BM19" s="888">
        <f>IF(ISNUMBER((Datos!P19-Datos!Q19+R19)/(Datos!R19-Datos!P19+Datos!Q19-R19)),(Datos!P19-Datos!Q19+R19)/(Datos!R19-Datos!P19+Datos!Q19-R19)," - ")</f>
        <v>-8.0645678893488656E-2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2377.1999999999998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7.078920193865101</v>
      </c>
      <c r="F21" s="550">
        <f>IF(ISNUMBER(STDEV(F8:F18)),STDEV(F8:F18),"-")</f>
        <v>2674.2864468863468</v>
      </c>
      <c r="G21" s="551">
        <f>IF(ISNUMBER(STDEV(G8:G18)),STDEV(G8:G18),"-")</f>
        <v>2630.3400350525026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4781.1360783813716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1297.0772088485271</v>
      </c>
      <c r="BD21" s="550"/>
      <c r="BE21" s="550">
        <f>IF(ISNUMBER(STDEV(BE8:BE18)),STDEV(BE8:BE18),"-")</f>
        <v>0</v>
      </c>
      <c r="BF21" s="555">
        <f>IF(ISNUMBER(STDEV(BF8:BF18)),STDEV(BF8:BF18),"-")</f>
        <v>0</v>
      </c>
      <c r="BG21" s="774">
        <f>IF(ISNUMBER(STDEV(BG8:BG18)),STDEV(BG8:BG18),"-")</f>
        <v>9.8995937421242838E-2</v>
      </c>
      <c r="BH21" s="775">
        <f>IF(ISNUMBER(STDEV(BH8:BH18)),STDEV(BH8:BH18),"-")</f>
        <v>2.4807524186860359</v>
      </c>
      <c r="BI21" s="248">
        <f>IF(ISNUMBER(STDEV(BI8:BI18)),STDEV(BI8:BI18),"-")</f>
        <v>9.9210825018728702E-2</v>
      </c>
      <c r="BJ21" s="229" t="str">
        <f>IF(ISNUMBER(BL21/BM21),BL21/BM21," - ")</f>
        <v xml:space="preserve"> - </v>
      </c>
      <c r="BK21" s="574"/>
      <c r="BL21" s="558">
        <f>IF(ISNUMBER(STDEV(BL8:BL18)),STDEV(BL8:BL18),"-")</f>
        <v>1.136556068169001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Ws3iJ9gZQaRtHewaYILuj6HJO0FuptfJtQq1a8I6DtrXJt8E5gYrtCC8vfnTwLdlYI6u2LEIQHiq9losI+9lQ==" saltValue="lwS+6MZptNIEBkfNjjUs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PALMAS DE GRAN CANARIA, LAS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1861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4301</v>
      </c>
      <c r="AA9" s="331" t="str">
        <f>IF(ISNUMBER(IF(J_V="SI",Datos!L9,Datos!L9+Datos!AB9)-IF(Monitorios="SI",Datos!CD9,0)),
                          IF(J_V="SI",Datos!L9,Datos!L9+Datos!AB9)-IF(Monitorios="SI",Datos!CD9,0),
                          " - ")</f>
        <v xml:space="preserve"> - </v>
      </c>
      <c r="AB9" s="333"/>
      <c r="AC9" s="333"/>
      <c r="AD9" s="483"/>
      <c r="AE9" s="483">
        <f>IF(ISNUMBER(Datos!R9),Datos!R9," - ")</f>
        <v>26323</v>
      </c>
      <c r="AF9" s="228" t="str">
        <f>IF(ISNUMBER(Datos!BV9),Datos!BV9," - ")</f>
        <v xml:space="preserve"> - </v>
      </c>
      <c r="AG9" s="224" t="str">
        <f>IF(ISNUMBER(Datos!DV9),Datos!DV9," - ")</f>
        <v xml:space="preserve"> - </v>
      </c>
      <c r="AH9" s="297"/>
      <c r="AI9" s="226"/>
      <c r="AJ9" s="224">
        <f>IF(ISNUMBER(Datos!M9),Datos!M9," - ")</f>
        <v>2884</v>
      </c>
      <c r="AK9" s="228">
        <f>IF(ISNUMBER(Datos!N9),Datos!N9," - ")</f>
        <v>3589</v>
      </c>
      <c r="AL9" s="228" t="str">
        <f>IF(ISNUMBER(Datos!BW9),Datos!BW9," - ")</f>
        <v xml:space="preserve"> - </v>
      </c>
      <c r="AM9" s="227" t="str">
        <f>IF(ISNUMBER(Datos!BX9),Datos!BX9," - ")</f>
        <v xml:space="preserve"> - </v>
      </c>
      <c r="AN9" s="242"/>
      <c r="AO9" s="259">
        <f>IF(ISNUMBER(((NºAsuntos!I9/NºAsuntos!G9)*11)/factor_trimestre),((NºAsuntos!I9/NºAsuntos!G9)*11)/factor_trimestre," - ")</f>
        <v>4.574917572353157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-8.4831206758683025E-2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3</v>
      </c>
      <c r="B10" s="506" t="s">
        <v>246</v>
      </c>
      <c r="C10" s="7" t="str">
        <f>Datos!A10</f>
        <v>Jdos. Violencia contra la mujer/Secc Viol. TI.</v>
      </c>
      <c r="D10" s="507"/>
      <c r="E10" s="1167">
        <f>IF(ISNUMBER(Datos!AQ10),Datos!AQ10," - ")</f>
        <v>3</v>
      </c>
      <c r="F10" s="224">
        <f>IF(ISNUMBER(Datos!L10+Datos!K10-Datos!J10),Datos!L10+Datos!K10-Datos!J10," - ")</f>
        <v>389</v>
      </c>
      <c r="G10" s="224">
        <f>IF(ISNUMBER(Datos!I10),Datos!I10," - ")</f>
        <v>389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145</v>
      </c>
      <c r="Z10" s="618">
        <f>IF(ISNUMBER(Datos!Q10),Datos!Q10," - ")</f>
        <v>7</v>
      </c>
      <c r="AA10" s="331">
        <f>IF(ISNUMBER(Datos!L10),Datos!L10,"-")</f>
        <v>394</v>
      </c>
      <c r="AB10" s="333"/>
      <c r="AC10" s="333"/>
      <c r="AD10" s="483"/>
      <c r="AE10" s="483">
        <f>IF(ISNUMBER(Datos!R10),Datos!R10," - ")</f>
        <v>179</v>
      </c>
      <c r="AF10" s="228" t="str">
        <f>IF(ISNUMBER(Datos!BV10),Datos!BV10," - ")</f>
        <v xml:space="preserve"> - </v>
      </c>
      <c r="AG10" s="224" t="str">
        <f>IF(ISNUMBER(Datos!DV10),Datos!DV10," - ")</f>
        <v xml:space="preserve"> - </v>
      </c>
      <c r="AH10" s="297"/>
      <c r="AI10" s="226"/>
      <c r="AJ10" s="224">
        <f>IF(ISNUMBER(Datos!M10),Datos!M10," - ")</f>
        <v>73</v>
      </c>
      <c r="AK10" s="228">
        <f>IF(ISNUMBER(Datos!N10),Datos!N10," - ")</f>
        <v>47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8.1517241379310352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4.6783625730994149E-2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4</v>
      </c>
      <c r="B11" s="506" t="s">
        <v>246</v>
      </c>
      <c r="C11" s="7" t="str">
        <f>Datos!A11</f>
        <v xml:space="preserve">Jdos. Familia                                   </v>
      </c>
      <c r="D11" s="507"/>
      <c r="E11" s="1167">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85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163</v>
      </c>
      <c r="AA11" s="331" t="str">
        <f>IF(ISNUMBER(IF(J_V="SI",Datos!L11,Datos!L11+Datos!AB11)-IF(Monitorios="SI",Datos!CD11,0)),
                          IF(J_V="SI",Datos!L11,Datos!L11+Datos!AB11)-IF(Monitorios="SI",Datos!CD11,0),
                          " - ")</f>
        <v xml:space="preserve"> - </v>
      </c>
      <c r="AB11" s="333"/>
      <c r="AC11" s="333"/>
      <c r="AD11" s="483"/>
      <c r="AE11" s="483">
        <f>IF(ISNUMBER(Datos!R11),Datos!R11," - ")</f>
        <v>1104</v>
      </c>
      <c r="AF11" s="228" t="str">
        <f>IF(ISNUMBER(Datos!BV11),Datos!BV11," - ")</f>
        <v xml:space="preserve"> - </v>
      </c>
      <c r="AG11" s="224" t="str">
        <f>IF(ISNUMBER(Datos!DV11),Datos!DV11," - ")</f>
        <v xml:space="preserve"> - </v>
      </c>
      <c r="AH11" s="297"/>
      <c r="AI11" s="226"/>
      <c r="AJ11" s="224">
        <f>IF(ISNUMBER(Datos!M11),Datos!M11," - ")</f>
        <v>359</v>
      </c>
      <c r="AK11" s="228">
        <f>IF(ISNUMBER(Datos!N11),Datos!N11," - ")</f>
        <v>901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2.7115384615384617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-6.5989847715736044E-2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21</v>
      </c>
      <c r="F13" s="897">
        <f>SUBTOTAL(9,F8:F12)</f>
        <v>389</v>
      </c>
      <c r="G13" s="897">
        <f>SUBTOTAL(9,G8:G12)</f>
        <v>389</v>
      </c>
      <c r="H13" s="907"/>
      <c r="I13" s="897">
        <f t="shared" ref="I13:N13" si="0">SUBTOTAL(9,I8:I12)</f>
        <v>0</v>
      </c>
      <c r="J13" s="866">
        <f t="shared" si="0"/>
        <v>0</v>
      </c>
      <c r="K13" s="907">
        <f t="shared" si="0"/>
        <v>0</v>
      </c>
      <c r="L13" s="907">
        <f t="shared" si="0"/>
        <v>0</v>
      </c>
      <c r="M13" s="907">
        <f t="shared" si="0"/>
        <v>0</v>
      </c>
      <c r="N13" s="907">
        <f t="shared" si="0"/>
        <v>1961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145</v>
      </c>
      <c r="Z13" s="906">
        <f t="shared" si="2"/>
        <v>4471</v>
      </c>
      <c r="AA13" s="899">
        <f t="shared" si="2"/>
        <v>394</v>
      </c>
      <c r="AB13" s="899">
        <f t="shared" si="2"/>
        <v>0</v>
      </c>
      <c r="AC13" s="899">
        <f t="shared" si="2"/>
        <v>0</v>
      </c>
      <c r="AD13" s="899">
        <f t="shared" si="2"/>
        <v>0</v>
      </c>
      <c r="AE13" s="899">
        <f t="shared" si="2"/>
        <v>27606</v>
      </c>
      <c r="AF13" s="907">
        <f t="shared" si="2"/>
        <v>0</v>
      </c>
      <c r="AG13" s="907">
        <f t="shared" si="2"/>
        <v>0</v>
      </c>
      <c r="AH13" s="907">
        <f t="shared" si="2"/>
        <v>0</v>
      </c>
      <c r="AI13" s="907">
        <f t="shared" si="2"/>
        <v>0</v>
      </c>
      <c r="AJ13" s="907">
        <f t="shared" si="2"/>
        <v>3316</v>
      </c>
      <c r="AK13" s="907">
        <f t="shared" si="2"/>
        <v>4537</v>
      </c>
      <c r="AL13" s="907">
        <f t="shared" si="2"/>
        <v>0</v>
      </c>
      <c r="AM13" s="907">
        <f t="shared" si="2"/>
        <v>0</v>
      </c>
      <c r="AN13" s="907">
        <f t="shared" si="2"/>
        <v>0</v>
      </c>
      <c r="AO13" s="903">
        <f>IF(ISNUMBER(((NºAsuntos!I13/NºAsuntos!G13)*11)/factor_trimestre),((NºAsuntos!I13/NºAsuntos!G13)*11)/factor_trimestre," - ")</f>
        <v>4.3250552986125079</v>
      </c>
      <c r="AP13" s="909" t="str">
        <f>IF(ISNUMBER(Datos!CI13/Datos!CJ13),Datos!CI13/Datos!CJ13," - ")</f>
        <v xml:space="preserve"> - </v>
      </c>
      <c r="AQ13" s="927">
        <f t="shared" ref="AQ13:AV13" si="3">SUBTOTAL(9,AQ9:AQ12)</f>
        <v>0</v>
      </c>
      <c r="AR13" s="927">
        <f t="shared" si="3"/>
        <v>-0.10403742874342492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8</v>
      </c>
      <c r="B15" s="506" t="s">
        <v>396</v>
      </c>
      <c r="C15" s="159" t="str">
        <f>Datos!A15</f>
        <v xml:space="preserve">Jdos. Instrucción                               </v>
      </c>
      <c r="D15" s="501"/>
      <c r="E15" s="1167">
        <f>IF(ISNUMBER(Datos!AQ15),Datos!AQ15," - ")</f>
        <v>8</v>
      </c>
      <c r="F15" s="332">
        <f>IF(ISNUMBER(AA15+Y15-Datos!J15-K15),AA15+Y15-Datos!J15-K15," - ")</f>
        <v>5021</v>
      </c>
      <c r="G15" s="224">
        <f>IF(ISNUMBER(IF(D_I="SI",Datos!I15,Datos!I15+Datos!AC15)),IF(D_I="SI",Datos!I15,Datos!I15+Datos!AC15)," - ")</f>
        <v>4940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440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8473</v>
      </c>
      <c r="Z15" s="618">
        <f>IF(ISNUMBER(Datos!Q15),Datos!Q15," - ")</f>
        <v>474</v>
      </c>
      <c r="AA15" s="331">
        <f>IF(ISNUMBER(IF(D_I="SI",Datos!L15,Datos!L15+Datos!AF15)),IF(D_I="SI",Datos!L15,Datos!L15+Datos!AF15)," - ")</f>
        <v>4926</v>
      </c>
      <c r="AB15" s="333"/>
      <c r="AC15" s="333"/>
      <c r="AD15" s="483"/>
      <c r="AE15" s="483">
        <f>IF(ISNUMBER(Datos!R15),Datos!R15," - ")</f>
        <v>908</v>
      </c>
      <c r="AF15" s="228" t="str">
        <f>IF(ISNUMBER(Datos!BV15),Datos!BV15," - ")</f>
        <v xml:space="preserve"> - </v>
      </c>
      <c r="AG15" s="224"/>
      <c r="AH15" s="297"/>
      <c r="AI15" s="226"/>
      <c r="AJ15" s="224">
        <f>IF(ISNUMBER(Datos!M15),Datos!M15," - ")</f>
        <v>1070</v>
      </c>
      <c r="AK15" s="228">
        <f>IF(ISNUMBER(Datos!N15),Datos!N15," - ")</f>
        <v>5591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1.7441284078838664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3</v>
      </c>
      <c r="B17" s="506" t="s">
        <v>396</v>
      </c>
      <c r="C17" s="7" t="str">
        <f>Datos!A17</f>
        <v>Jdos. Violencia contra la mujer/Secc Viol. TI.</v>
      </c>
      <c r="D17" s="507"/>
      <c r="E17" s="1167">
        <f>IF(ISNUMBER(Datos!AQ17),Datos!AQ17," - ")</f>
        <v>3</v>
      </c>
      <c r="F17" s="224" t="str">
        <f>IF(ISNUMBER(AA17+Y17-I17-K17),AA17+Y17-I17-K17," - ")</f>
        <v xml:space="preserve"> - </v>
      </c>
      <c r="G17" s="522">
        <f>IF(ISNUMBER(IF(D_I="SI",Datos!I17,Datos!I17+Datos!AC17)),IF(D_I="SI",Datos!I17,Datos!I17+Datos!AC17)," - ")</f>
        <v>614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1469</v>
      </c>
      <c r="Z17" s="618">
        <f>IF(ISNUMBER(Datos!Q17),Datos!Q17," - ")</f>
        <v>44</v>
      </c>
      <c r="AA17" s="331">
        <f>IF(ISNUMBER(Datos!L17),Datos!L17,"-")</f>
        <v>531</v>
      </c>
      <c r="AB17" s="333"/>
      <c r="AC17" s="333"/>
      <c r="AD17" s="483"/>
      <c r="AE17" s="483">
        <f>IF(ISNUMBER(Datos!R17),Datos!R17," - ")</f>
        <v>134</v>
      </c>
      <c r="AF17" s="228" t="str">
        <f>IF(ISNUMBER(Datos!BV17),Datos!BV17," - ")</f>
        <v xml:space="preserve"> - </v>
      </c>
      <c r="AG17" s="224" t="str">
        <f>IF(ISNUMBER(Datos!DV17),Datos!DV17," - ")</f>
        <v xml:space="preserve"> - </v>
      </c>
      <c r="AH17" s="297"/>
      <c r="AI17" s="226"/>
      <c r="AJ17" s="224">
        <f>IF(ISNUMBER(Datos!M17),Datos!M17," - ")</f>
        <v>260</v>
      </c>
      <c r="AK17" s="228">
        <f>IF(ISNUMBER(Datos!N17),Datos!N17," - ")</f>
        <v>1007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1.0844111640571819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11</v>
      </c>
      <c r="F18" s="897">
        <f>SUBTOTAL(9,F15:F17)</f>
        <v>5021</v>
      </c>
      <c r="G18" s="897">
        <f>SUBTOTAL(9,G15:G17)</f>
        <v>5554</v>
      </c>
      <c r="H18" s="931">
        <f>SUBTOTAL(9,H15:H17)</f>
        <v>0</v>
      </c>
      <c r="I18" s="910">
        <f>SUBTOTAL(9,I15:I17)</f>
        <v>0</v>
      </c>
      <c r="J18" s="866">
        <f>SUBTOTAL(9,J14:J17)</f>
        <v>0</v>
      </c>
      <c r="K18" s="931">
        <f t="shared" ref="K18:S18" si="4">SUBTOTAL(9,K15:K17)</f>
        <v>0</v>
      </c>
      <c r="L18" s="931">
        <f t="shared" si="4"/>
        <v>0</v>
      </c>
      <c r="M18" s="931">
        <f t="shared" si="4"/>
        <v>0</v>
      </c>
      <c r="N18" s="931">
        <f t="shared" si="4"/>
        <v>515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9942</v>
      </c>
      <c r="Z18" s="931">
        <f t="shared" si="5"/>
        <v>518</v>
      </c>
      <c r="AA18" s="931">
        <f t="shared" si="5"/>
        <v>5457</v>
      </c>
      <c r="AB18" s="931">
        <f t="shared" si="5"/>
        <v>0</v>
      </c>
      <c r="AC18" s="931">
        <f t="shared" si="5"/>
        <v>0</v>
      </c>
      <c r="AD18" s="931">
        <f t="shared" si="5"/>
        <v>0</v>
      </c>
      <c r="AE18" s="931">
        <f t="shared" si="5"/>
        <v>1042</v>
      </c>
      <c r="AF18" s="931">
        <f t="shared" si="5"/>
        <v>0</v>
      </c>
      <c r="AG18" s="931">
        <f t="shared" si="5"/>
        <v>0</v>
      </c>
      <c r="AH18" s="931">
        <f t="shared" si="5"/>
        <v>0</v>
      </c>
      <c r="AI18" s="931">
        <f t="shared" si="5"/>
        <v>0</v>
      </c>
      <c r="AJ18" s="931">
        <f t="shared" si="5"/>
        <v>1330</v>
      </c>
      <c r="AK18" s="931">
        <f t="shared" si="5"/>
        <v>6598</v>
      </c>
      <c r="AL18" s="931">
        <f t="shared" si="5"/>
        <v>0</v>
      </c>
      <c r="AM18" s="931">
        <f t="shared" si="5"/>
        <v>0</v>
      </c>
      <c r="AN18" s="931">
        <f t="shared" si="5"/>
        <v>0</v>
      </c>
      <c r="AO18" s="933">
        <f>IF(ISNUMBER(((NºAsuntos!I18/NºAsuntos!G18)*11)/factor_trimestre),((NºAsuntos!I18/NºAsuntos!G18)*11)/factor_trimestre," - ")</f>
        <v>1.646650573325287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32</v>
      </c>
      <c r="F19" s="819">
        <f t="shared" si="7"/>
        <v>5410</v>
      </c>
      <c r="G19" s="819">
        <f t="shared" si="7"/>
        <v>5943</v>
      </c>
      <c r="H19" s="820">
        <f t="shared" si="7"/>
        <v>0</v>
      </c>
      <c r="I19" s="819">
        <f t="shared" si="7"/>
        <v>0</v>
      </c>
      <c r="J19" s="821">
        <f t="shared" si="7"/>
        <v>0</v>
      </c>
      <c r="K19" s="819">
        <f t="shared" si="7"/>
        <v>0</v>
      </c>
      <c r="L19" s="822">
        <f t="shared" si="7"/>
        <v>0</v>
      </c>
      <c r="M19" s="819">
        <f t="shared" si="7"/>
        <v>0</v>
      </c>
      <c r="N19" s="820">
        <f t="shared" si="7"/>
        <v>2476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10087</v>
      </c>
      <c r="Z19" s="826">
        <f t="shared" si="8"/>
        <v>4989</v>
      </c>
      <c r="AA19" s="827">
        <f t="shared" si="8"/>
        <v>5851</v>
      </c>
      <c r="AB19" s="827">
        <f t="shared" si="8"/>
        <v>0</v>
      </c>
      <c r="AC19" s="827">
        <f t="shared" si="8"/>
        <v>0</v>
      </c>
      <c r="AD19" s="828">
        <f t="shared" si="8"/>
        <v>0</v>
      </c>
      <c r="AE19" s="828">
        <f t="shared" si="8"/>
        <v>28648</v>
      </c>
      <c r="AF19" s="829">
        <f t="shared" si="8"/>
        <v>0</v>
      </c>
      <c r="AG19" s="830">
        <f t="shared" si="8"/>
        <v>0</v>
      </c>
      <c r="AH19" s="831">
        <f t="shared" si="8"/>
        <v>0</v>
      </c>
      <c r="AI19" s="829">
        <f t="shared" si="8"/>
        <v>0</v>
      </c>
      <c r="AJ19" s="819">
        <f t="shared" si="8"/>
        <v>4646</v>
      </c>
      <c r="AK19" s="819">
        <f t="shared" si="8"/>
        <v>11135</v>
      </c>
      <c r="AL19" s="819">
        <f t="shared" si="8"/>
        <v>0</v>
      </c>
      <c r="AM19" s="832">
        <f t="shared" si="8"/>
        <v>0</v>
      </c>
      <c r="AN19" s="822">
        <f>IF(ISNUMBER(Datos!K19/Datos!J19),Datos!K19/Datos!J19," - ")</f>
        <v>1.0981537742463192</v>
      </c>
      <c r="AO19" s="822">
        <f>IF(ISNUMBER(FIND("06",Criterios!A8,1)),(IF(ISNUMBER(((Datos!R19/Datos!Q19)*11)/factor_trimestre),((Datos!R19/Datos!Q19)*11)/factor_trimestre," - ")),(IF(ISNUMBER(((Datos!L19/Datos!K19)*11)/factor_trimestre),((Datos!L19/Datos!K19)*11)/factor_trimestre," - ")))</f>
        <v>3.0261757820812942</v>
      </c>
      <c r="AP19" s="833" t="str">
        <f>IF(ISNUMBER(Datos!CI19/Datos!CJ19),Datos!CI19/Datos!CJ19," - ")</f>
        <v xml:space="preserve"> - </v>
      </c>
      <c r="AQ19" s="833">
        <f>IF(OR(ISNUMBER(FIND("01",Criterios!A8,1)),ISNUMBER(FIND("02",Criterios!A8,1)),ISNUMBER(FIND("03",Criterios!A8,1)),ISNUMBER(FIND("04",Criterios!A8,1))),(J19-Y19+K19)/(F19-K19),(I19-Y19+K19)/(F19-K19))</f>
        <v>-1.8645101663585952</v>
      </c>
      <c r="AR19" s="833">
        <f>IF(ISNUMBER((Datos!P19-Datos!Q19+O19)/(Datos!R19-Datos!P19+Datos!Q19-O19)),(Datos!P19-Datos!Q19+O19)/(Datos!R19-Datos!P19+Datos!Q19-O19)," - ")</f>
        <v>-8.0645678893488656E-2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2377.1999999999998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2674.2864468863468</v>
      </c>
      <c r="G21" s="551">
        <f>IF(ISNUMBER(STDEV(G8:G18)),STDEV(G8:G18),"-")</f>
        <v>2630.3400350525026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1297.0772088485271</v>
      </c>
      <c r="AK21" s="251"/>
      <c r="AL21" s="251">
        <f>IF(ISNUMBER(STDEV(AL8:AL18)),STDEV(AL8:AL18),"-")</f>
        <v>0</v>
      </c>
      <c r="AM21" s="253">
        <f>IF(ISNUMBER(STDEV(AM8:AM18)),STDEV(AM8:AM18),"-")</f>
        <v>0</v>
      </c>
      <c r="AN21" s="538">
        <f>IF(ISNUMBER(STDEV(AN8:AN18)),STDEV(AN8:AN18),"-")</f>
        <v>0</v>
      </c>
      <c r="AO21" s="539">
        <f>IF(ISNUMBER(STDEV(AO8:AO18)),STDEV(AO8:AO18),"-")</f>
        <v>2.4644017936961133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MGaG0DIEa4GwY0loDrm8JHVCsshWuXq6RCmmndSq4R3Sg0YL9aGRBmw6U7xHJEJpyzPiVp7qkXzgFS8/HWk2w==" saltValue="lFug8m8v6m3mq5FW8x7B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SG3bboU8AaxFWQdqVt4v/+13jnx8Vqei0e2NjOF3Q/YUpYMAkxzHemAJ2w1uI/OlxOoQOpwkVfxylAoeE7+7w==" saltValue="e6HZe+P3UKidH+Ez8oVC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jYiETADWpA/TNsP6udVGsZofTgcmlrh1mwC4bOKyCyY/CxWr6NhBckQw1f+6cmCJMe5YDI2zsm9upCVU8updA==" saltValue="ItbGY4Y2NLBLrJlxHBV6W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PALMAS DE GRAN CANARIA, LAS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0.33340036195455458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0.23574965678811496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FBl9pW5LZrauHASlr9VixS9SJkLc4/iW/O2crHAxVD93wL8mfWUzgEMP2XkqlEgUVOumSUuf5GaPstLkX1Drw==" saltValue="p9BzNiEaKopUABWE6mVB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OQI+frDE6eCOaSiALalJdd6SGUkY4K/ZKxVas+/LEXbDMA0NpAP088UyRVCeQErpL1j+ERLhZ+MRmZKOT/syQ==" saltValue="Vo/6xZpAZBZ2pknxvb8p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PALMAS DE GRAN CANARIA, LAS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14</v>
      </c>
      <c r="C9" s="402">
        <f>IF(ISNUMBER(IF(J_V="SI",Datos!I9,Datos!I9+Datos!Y9)),IF(J_V="SI",Datos!I9,Datos!I9+Datos!Y9)," - ")</f>
        <v>13656</v>
      </c>
      <c r="D9" s="403">
        <f>IF(ISNUMBER(C9/Datos!BH9),C9/Datos!BH9," - ")</f>
        <v>975.42857142857144</v>
      </c>
      <c r="E9" s="402">
        <f>IF(ISNUMBER(IF(J_V="SI",Datos!J9,Datos!J9+Datos!Z9)),IF(J_V="SI",Datos!J9,Datos!J9+Datos!Z9)," - ")</f>
        <v>6674</v>
      </c>
      <c r="F9" s="403">
        <f>IF(ISNUMBER(E9/B9),E9/B9," - ")</f>
        <v>476.71428571428572</v>
      </c>
      <c r="G9" s="402">
        <f>IF(ISNUMBER(IF(J_V="SI",Datos!K9,Datos!K9+Datos!AA9)),IF(J_V="SI",Datos!K9,Datos!K9+Datos!AA9)," - ")</f>
        <v>8189</v>
      </c>
      <c r="H9" s="403">
        <f>IF(ISNUMBER(G9/B9),G9/B9," - ")</f>
        <v>584.92857142857144</v>
      </c>
      <c r="I9" s="402">
        <f>IF(ISNUMBER(IF(J_V="SI",Datos!L9,Datos!L9+Datos!AB9)),IF(J_V="SI",Datos!L9,Datos!L9+Datos!AB9)," - ")</f>
        <v>12488</v>
      </c>
      <c r="J9" s="403">
        <f>IF(ISNUMBER(I9/B9),I9/B9," - ")</f>
        <v>892</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3</v>
      </c>
      <c r="C10" s="402">
        <f>IF(ISNUMBER(Datos!I10),Datos!I10," - ")</f>
        <v>389</v>
      </c>
      <c r="D10" s="403">
        <f>IF(ISNUMBER(C10/Datos!BH10),C10/Datos!BH10," - ")</f>
        <v>129.66666666666666</v>
      </c>
      <c r="E10" s="402">
        <f>IF(ISNUMBER(Datos!J10),Datos!J10," - ")</f>
        <v>150</v>
      </c>
      <c r="F10" s="403">
        <f>IF(ISNUMBER(E10/B10),E10/B10," - ")</f>
        <v>50</v>
      </c>
      <c r="G10" s="402">
        <f>IF(ISNUMBER(Datos!K10),Datos!K10," - ")</f>
        <v>145</v>
      </c>
      <c r="H10" s="403">
        <f>IF(ISNUMBER(G10/B10),G10/B10," - ")</f>
        <v>48.333333333333336</v>
      </c>
      <c r="I10" s="402">
        <f>IF(ISNUMBER(Datos!L10),Datos!L10," - ")</f>
        <v>394</v>
      </c>
      <c r="J10" s="403">
        <f>IF(ISNUMBER(I10/B10),I10/B10," - ")</f>
        <v>131.33333333333334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4</v>
      </c>
      <c r="C11" s="402">
        <f>IF(ISNUMBER(IF(J_V="SI",Datos!I11,Datos!I11+Datos!Y11)),IF(J_V="SI",Datos!I11,Datos!I11+Datos!Y11)," - ")</f>
        <v>1596</v>
      </c>
      <c r="D11" s="403">
        <f>IF(ISNUMBER(C11/Datos!BH11),C11/Datos!BH11," - ")</f>
        <v>399</v>
      </c>
      <c r="E11" s="402">
        <f>IF(ISNUMBER(IF(J_V="SI",Datos!J11,Datos!J11+Datos!Z11)),IF(J_V="SI",Datos!J11,Datos!J11+Datos!Z11)," - ")</f>
        <v>1473</v>
      </c>
      <c r="F11" s="403">
        <f>IF(ISNUMBER(E11/B11),E11/B11," - ")</f>
        <v>368.25</v>
      </c>
      <c r="G11" s="402">
        <f>IF(ISNUMBER(IF(J_V="SI",Datos!K11,Datos!K11+Datos!AA11)),IF(J_V="SI",Datos!K11,Datos!K11+Datos!AA11)," - ")</f>
        <v>1612</v>
      </c>
      <c r="H11" s="403">
        <f>IF(ISNUMBER(G11/B11),G11/B11," - ")</f>
        <v>403</v>
      </c>
      <c r="I11" s="402">
        <f>IF(ISNUMBER(IF(J_V="SI",Datos!L11,Datos!L11+Datos!AB11)),IF(J_V="SI",Datos!L11,Datos!L11+Datos!AB11)," - ")</f>
        <v>1457</v>
      </c>
      <c r="J11" s="403">
        <f>IF(ISNUMBER(I11/B11),I11/B11," - ")</f>
        <v>364.25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21</v>
      </c>
      <c r="C13" s="848">
        <f>SUBTOTAL(9,C8:C12)</f>
        <v>15641</v>
      </c>
      <c r="D13" s="849" t="str">
        <f>IF(ISNUMBER(C13/Datos!BI13),C13/Datos!BI13," - ")</f>
        <v xml:space="preserve"> - </v>
      </c>
      <c r="E13" s="848">
        <f>SUBTOTAL(9,E8:E12)</f>
        <v>8297</v>
      </c>
      <c r="F13" s="849">
        <f>IF(ISNUMBER(E13/B13),E13/B13," - ")</f>
        <v>395.09523809523807</v>
      </c>
      <c r="G13" s="848">
        <f>SUBTOTAL(9,G8:G12)</f>
        <v>9946</v>
      </c>
      <c r="H13" s="849">
        <f>IF(ISNUMBER(G13/B13),G13/B13," - ")</f>
        <v>473.61904761904759</v>
      </c>
      <c r="I13" s="848">
        <f>SUBTOTAL(9,I8:I12)</f>
        <v>14339</v>
      </c>
      <c r="J13" s="849">
        <f>IF(ISNUMBER(I13/B13),I13/B13," - ")</f>
        <v>682.80952380952385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8</v>
      </c>
      <c r="C15" s="402">
        <f>IF(ISNUMBER(IF(D_I="SI",Datos!I15,Datos!I15+Datos!AC15)),IF(D_I="SI",Datos!I15,Datos!I15+Datos!AC15)," - ")</f>
        <v>4940</v>
      </c>
      <c r="D15" s="403">
        <f>IF(ISNUMBER(C15/Datos!BH15),C15/Datos!BH15," - ")</f>
        <v>617.5</v>
      </c>
      <c r="E15" s="402">
        <f>IF(ISNUMBER(IF(D_I="SI",Datos!J15,Datos!J15+Datos!AD15)),IF(D_I="SI",Datos!J15,Datos!J15+Datos!AD15)," - ")</f>
        <v>8378</v>
      </c>
      <c r="F15" s="403">
        <f>IF(ISNUMBER(E15/B15),E15/B15," - ")</f>
        <v>1047.25</v>
      </c>
      <c r="G15" s="402">
        <f>IF(ISNUMBER(IF(D_I="SI",Datos!K15,Datos!K15+Datos!AE15)),IF(D_I="SI",Datos!K15,Datos!K15+Datos!AE15)," - ")</f>
        <v>8473</v>
      </c>
      <c r="H15" s="403">
        <f>IF(ISNUMBER(G15/B15),G15/B15," - ")</f>
        <v>1059.125</v>
      </c>
      <c r="I15" s="402">
        <f>IF(ISNUMBER(IF(D_I="SI",Datos!L15,Datos!L15+Datos!AF15)),IF(D_I="SI",Datos!L15,Datos!L15+Datos!AF15)," - ")</f>
        <v>4926</v>
      </c>
      <c r="J15" s="403">
        <f>IF(ISNUMBER(I15/B15),I15/B15," - ")</f>
        <v>615.75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3</v>
      </c>
      <c r="C17" s="402">
        <f>IF(ISNUMBER(IF(D_I="SI",Datos!I17,Datos!I17+Datos!AC17)),IF(D_I="SI",Datos!I17,Datos!I17+Datos!AC17)," - ")</f>
        <v>614</v>
      </c>
      <c r="D17" s="403">
        <f>IF(ISNUMBER(C17/Datos!BH17),C17/Datos!BH17," - ")</f>
        <v>204.66666666666666</v>
      </c>
      <c r="E17" s="402">
        <f>IF(ISNUMBER(IF(D_I="SI",Datos!J17,Datos!J17+Datos!AD17)),IF(D_I="SI",Datos!J17,Datos!J17+Datos!AD17)," - ")</f>
        <v>1384</v>
      </c>
      <c r="F17" s="403">
        <f>IF(ISNUMBER(E17/B17),E17/B17," - ")</f>
        <v>461.33333333333331</v>
      </c>
      <c r="G17" s="402">
        <f>IF(ISNUMBER(IF(D_I="SI",Datos!K17,Datos!K17+Datos!AE17)),IF(D_I="SI",Datos!K17,Datos!K17+Datos!AE17)," - ")</f>
        <v>1469</v>
      </c>
      <c r="H17" s="403">
        <f>IF(ISNUMBER(G17/B17),G17/B17," - ")</f>
        <v>489.66666666666669</v>
      </c>
      <c r="I17" s="402">
        <f>IF(ISNUMBER(IF(D_I="SI",Datos!L17,Datos!L17+Datos!AF17)),IF(D_I="SI",Datos!L17,Datos!L17+Datos!AF17)," - ")</f>
        <v>531</v>
      </c>
      <c r="J17" s="403">
        <f>IF(ISNUMBER(I17/B17),I17/B17," - ")</f>
        <v>177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11</v>
      </c>
      <c r="C18" s="848">
        <f>SUBTOTAL(9,C14:C17)</f>
        <v>5554</v>
      </c>
      <c r="D18" s="849" t="str">
        <f>IF(ISNUMBER(C18/Datos!BI18),C18/Datos!BI18," - ")</f>
        <v xml:space="preserve"> - </v>
      </c>
      <c r="E18" s="848">
        <f>SUBTOTAL(9,E14:E17)</f>
        <v>9762</v>
      </c>
      <c r="F18" s="849">
        <f>IF(ISNUMBER(E18/B18),E18/B18," - ")</f>
        <v>887.4545454545455</v>
      </c>
      <c r="G18" s="848">
        <f>SUBTOTAL(9,G14:G17)</f>
        <v>9942</v>
      </c>
      <c r="H18" s="849">
        <f>IF(ISNUMBER(G18/B18),G18/B18," - ")</f>
        <v>903.81818181818187</v>
      </c>
      <c r="I18" s="848">
        <f>SUBTOTAL(9,I14:I17)</f>
        <v>5457</v>
      </c>
      <c r="J18" s="849">
        <f>IF(ISNUMBER(I18/B18),I18/B18," - ")</f>
        <v>496.09090909090907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29</v>
      </c>
      <c r="C19" s="793">
        <f>SUBTOTAL(9,C9:C18)</f>
        <v>21195</v>
      </c>
      <c r="D19" s="794" t="str">
        <f>IF(ISNUMBER(C19/Datos!BI19),C19/Datos!BI19," - ")</f>
        <v xml:space="preserve"> - </v>
      </c>
      <c r="E19" s="793">
        <f>SUBTOTAL(9,E9:E18)</f>
        <v>18059</v>
      </c>
      <c r="F19" s="794">
        <f>IF(ISNUMBER(E19/B19),E19/B19," - ")</f>
        <v>622.72413793103453</v>
      </c>
      <c r="G19" s="793">
        <f>SUBTOTAL(9,G9:G18)</f>
        <v>19888</v>
      </c>
      <c r="H19" s="794">
        <f>IF(ISNUMBER(G19/B19),G19/B19," - ")</f>
        <v>685.79310344827582</v>
      </c>
      <c r="I19" s="793">
        <f>SUBTOTAL(9,I9:I18)</f>
        <v>19796</v>
      </c>
      <c r="J19" s="794">
        <f>IF(ISNUMBER(I19/B19),I19/B19," - ")</f>
        <v>682.62068965517244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roX1J6+44bGAGue9dbwIY+KW1K6/d/QpF8aJ8UCi4iS0+yPZq7LcmJcfTE37290TJFrvbgr83ommwr7wNeBzVA==" saltValue="tx1V6qBZ0bwHqGp2/Au+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PALMAS DE GRAN CANARIA, LAS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14</v>
      </c>
      <c r="B9" s="500" t="s">
        <v>246</v>
      </c>
      <c r="C9" s="159" t="str">
        <f>Datos!A9</f>
        <v xml:space="preserve">Jdos. 1ª Instancia   </v>
      </c>
      <c r="D9" s="501"/>
      <c r="E9" s="681">
        <f>IF(ISNUMBER(Datos!AQ9),Datos!AQ9," - ")</f>
        <v>14</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3</v>
      </c>
      <c r="B10" s="506" t="s">
        <v>246</v>
      </c>
      <c r="C10" s="7" t="str">
        <f>Datos!A10</f>
        <v>Jdos. Violencia contra la mujer/Secc Viol. TI.</v>
      </c>
      <c r="D10" s="507"/>
      <c r="E10" s="681">
        <f>IF(ISNUMBER(Datos!AQ10),Datos!AQ10," - ")</f>
        <v>3</v>
      </c>
      <c r="F10" s="682">
        <f>IF(ISNUMBER(Datos!L10+Datos!K10-Datos!J10),Datos!L10+Datos!K10-Datos!J10," - ")</f>
        <v>389</v>
      </c>
      <c r="G10" s="683">
        <f>IF(ISNUMBER(Datos!I10),Datos!I10," - ")</f>
        <v>389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145</v>
      </c>
      <c r="AC10" s="682" t="str">
        <f>IF(ISNUMBER(IF(D_I="SI",DatosP!K17,DatosP!K17+DatosP!AE17)),IF(D_I="SI",DatosP!K17,DatosP!K17+DatosP!AE17)," - ")</f>
        <v xml:space="preserve"> - </v>
      </c>
      <c r="AD10" s="684"/>
      <c r="AE10" s="684"/>
      <c r="AF10" s="687">
        <f>IF(ISNUMBER(Datos!L10),Datos!L10,"-")</f>
        <v>394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73</v>
      </c>
      <c r="AM10" s="689">
        <f>IF(ISNUMBER(Datos!N10+DatosP!N17),Datos!N10+DatosP!N17," - ")</f>
        <v>47</v>
      </c>
      <c r="AN10" s="689">
        <f>IF(ISNUMBER(Datos!BW10+DatosP!BW17),Datos!BW10+DatosP!BW17," - ")</f>
        <v>0</v>
      </c>
      <c r="AO10" s="690">
        <f>IF(ISNUMBER(Datos!BX10+DatosP!BX17),Datos!BX10+DatosP!BX17," - ")</f>
        <v>0</v>
      </c>
      <c r="AP10" s="692">
        <f>IF(ISNUMBER(((Datos!L10/Datos!K10)*11)/factor_trimestre),((Datos!L10/Datos!K10)*11)/factor_trimestre," - ")</f>
        <v>8.1517241379310352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4</v>
      </c>
      <c r="B11" s="506" t="s">
        <v>246</v>
      </c>
      <c r="C11" s="7" t="str">
        <f>Datos!A11</f>
        <v xml:space="preserve">Jdos. Familia                                   </v>
      </c>
      <c r="D11" s="507"/>
      <c r="E11" s="681">
        <f>IF(ISNUMBER(Datos!AQ11),Datos!AQ11," - ")</f>
        <v>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21</v>
      </c>
      <c r="F13" s="937">
        <f t="shared" si="0"/>
        <v>389</v>
      </c>
      <c r="G13" s="937">
        <f t="shared" si="0"/>
        <v>389</v>
      </c>
      <c r="H13" s="937">
        <f t="shared" si="0"/>
        <v>0</v>
      </c>
      <c r="I13" s="939">
        <f t="shared" si="0"/>
        <v>0</v>
      </c>
      <c r="J13" s="938">
        <f t="shared" si="0"/>
        <v>0</v>
      </c>
      <c r="K13" s="938">
        <f t="shared" si="0"/>
        <v>0</v>
      </c>
      <c r="L13" s="940">
        <f t="shared" si="0"/>
        <v>0</v>
      </c>
      <c r="M13" s="940">
        <f t="shared" si="0"/>
        <v>0</v>
      </c>
      <c r="N13" s="938">
        <f t="shared" si="0"/>
        <v>15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145</v>
      </c>
      <c r="AC13" s="938">
        <f t="shared" si="1"/>
        <v>0</v>
      </c>
      <c r="AD13" s="938">
        <f t="shared" si="1"/>
        <v>0</v>
      </c>
      <c r="AE13" s="938">
        <f t="shared" si="1"/>
        <v>0</v>
      </c>
      <c r="AF13" s="938">
        <f t="shared" si="1"/>
        <v>394</v>
      </c>
      <c r="AG13" s="938">
        <f t="shared" si="1"/>
        <v>0</v>
      </c>
      <c r="AH13" s="938">
        <f t="shared" si="1"/>
        <v>0</v>
      </c>
      <c r="AI13" s="938">
        <f t="shared" si="1"/>
        <v>0</v>
      </c>
      <c r="AJ13" s="938">
        <f t="shared" si="1"/>
        <v>0</v>
      </c>
      <c r="AK13" s="938">
        <f t="shared" si="1"/>
        <v>0</v>
      </c>
      <c r="AL13" s="938">
        <f t="shared" si="1"/>
        <v>73</v>
      </c>
      <c r="AM13" s="938">
        <f t="shared" si="1"/>
        <v>47</v>
      </c>
      <c r="AN13" s="938">
        <f t="shared" si="1"/>
        <v>0</v>
      </c>
      <c r="AO13" s="938">
        <f t="shared" si="1"/>
        <v>0</v>
      </c>
      <c r="AP13" s="943">
        <f>IF(ISNUMBER(((Datos!L13/Datos!K13)*11)/factor_trimestre),((Datos!L13/Datos!K13)*11)/factor_trimestre," - ")</f>
        <v>4.5752202394398012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-0.37275064267352187</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8</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3</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1.646650573325287</v>
      </c>
      <c r="AQ18" s="943">
        <f>IF(ISNUMBER(((Datos!M18/Datos!L18)*11)/factor_trimestre),((Datos!M18/Datos!L18)*11)/factor_trimestre," - ")</f>
        <v>0.73117097306212198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-2.8708133971291866E-3</v>
      </c>
      <c r="AW18" s="945">
        <f>IF(ISNUMBER((Datos!Q18-Datos!R18)/(Datos!S18-Datos!Q18+Datos!R18)),(Datos!Q18-Datos!R18)/(Datos!S18-Datos!Q18+Datos!R18)," - ")</f>
        <v>-9.4721619667389734E-2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21</v>
      </c>
      <c r="F19" s="950">
        <f t="shared" si="4"/>
        <v>389</v>
      </c>
      <c r="G19" s="950">
        <f t="shared" si="4"/>
        <v>389</v>
      </c>
      <c r="H19" s="950">
        <f t="shared" si="4"/>
        <v>0</v>
      </c>
      <c r="I19" s="951">
        <f t="shared" si="4"/>
        <v>0</v>
      </c>
      <c r="J19" s="952">
        <f t="shared" si="4"/>
        <v>0</v>
      </c>
      <c r="K19" s="952">
        <f t="shared" si="4"/>
        <v>0</v>
      </c>
      <c r="L19" s="952">
        <f t="shared" si="4"/>
        <v>0</v>
      </c>
      <c r="M19" s="952">
        <f t="shared" si="4"/>
        <v>0</v>
      </c>
      <c r="N19" s="951">
        <f t="shared" si="4"/>
        <v>15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145</v>
      </c>
      <c r="AC19" s="956">
        <f t="shared" si="5"/>
        <v>0</v>
      </c>
      <c r="AD19" s="956">
        <f t="shared" si="5"/>
        <v>0</v>
      </c>
      <c r="AE19" s="956">
        <f t="shared" si="5"/>
        <v>0</v>
      </c>
      <c r="AF19" s="957">
        <f t="shared" si="5"/>
        <v>394</v>
      </c>
      <c r="AG19" s="957">
        <f t="shared" si="5"/>
        <v>0</v>
      </c>
      <c r="AH19" s="957">
        <f t="shared" si="5"/>
        <v>0</v>
      </c>
      <c r="AI19" s="957">
        <f t="shared" si="5"/>
        <v>0</v>
      </c>
      <c r="AJ19" s="958">
        <f t="shared" si="5"/>
        <v>0</v>
      </c>
      <c r="AK19" s="958">
        <f t="shared" si="5"/>
        <v>0</v>
      </c>
      <c r="AL19" s="950">
        <f t="shared" si="5"/>
        <v>73</v>
      </c>
      <c r="AM19" s="950">
        <f t="shared" si="5"/>
        <v>47</v>
      </c>
      <c r="AN19" s="950">
        <f t="shared" si="5"/>
        <v>0</v>
      </c>
      <c r="AO19" s="950">
        <f t="shared" si="5"/>
        <v>0</v>
      </c>
      <c r="AP19" s="950">
        <f>IF(ISNUMBER(((Datos!L19/Datos!K19)*11)/factor_trimestre),((Datos!L19/Datos!K19)*11)/factor_trimestre," - ")</f>
        <v>3.0261757820812942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-0.37275064267352187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-8.0645678893488656E-2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259.33333333333331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8.5790442358108869</v>
      </c>
      <c r="F21" s="735">
        <f>IF(ISNUMBER(STDEV(F8:F18)),STDEV(F8:F18),"-")</f>
        <v>224.58925471476442</v>
      </c>
      <c r="G21" s="736">
        <f>IF(ISNUMBER(STDEV(G8:G18)),STDEV(G8:G18),"-")</f>
        <v>224.58925471476442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83.715789032495735</v>
      </c>
      <c r="AC21" s="737">
        <f>IF(ISNUMBER(STDEV(AC8:AC18)),STDEV(AC8:AC18),"-")</f>
        <v>0</v>
      </c>
      <c r="AD21" s="740"/>
      <c r="AE21" s="740"/>
      <c r="AF21" s="740"/>
      <c r="AG21" s="740"/>
      <c r="AH21" s="740"/>
      <c r="AI21" s="740"/>
      <c r="AJ21" s="741">
        <f>IF(ISNUMBER(STDEV(AJ8:AJ18)),STDEV(AJ8:AJ18),"-")</f>
        <v>0</v>
      </c>
      <c r="AK21" s="743"/>
      <c r="AL21" s="735">
        <f>IF(ISNUMBER(STDEV(AL8:AL18)),STDEV(AL8:AL18),"-")</f>
        <v>42.146569650842686</v>
      </c>
      <c r="AM21" s="735"/>
      <c r="AN21" s="735">
        <f>IF(ISNUMBER(STDEV(AN8:AN18)),STDEV(AN8:AN18),"-")</f>
        <v>0</v>
      </c>
      <c r="AO21" s="741">
        <f>IF(ISNUMBER(STDEV(AO8:AO18)),STDEV(AO8:AO18),"-")</f>
        <v>0</v>
      </c>
      <c r="AP21" s="778">
        <f>IF(ISNUMBER(STDEV(AP8:AP18)),STDEV(AP8:AP18),"-")</f>
        <v>3.2579104373340702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BtfYxudRAB1G1QLRJlCTsQfKMFj7XXGzLUvn3rkXpAm1xIaHXfCMGOluS7+kxd3XPo+oyvO08KoEcZ3ut3oQ==" saltValue="FgwpKTk9oUxXl3cF6CjG8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PALMAS DE GRAN CANARIA, LAS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14</v>
      </c>
      <c r="D9" s="402">
        <f>Datos!BK9</f>
        <v>0</v>
      </c>
      <c r="E9" s="402">
        <f>Datos!AQ9</f>
        <v>14</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3</v>
      </c>
      <c r="D10" s="402">
        <f>Datos!BK10</f>
        <v>0</v>
      </c>
      <c r="E10" s="402">
        <f>Datos!AQ10</f>
        <v>3</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4</v>
      </c>
      <c r="D11" s="402">
        <f>Datos!BK11</f>
        <v>0</v>
      </c>
      <c r="E11" s="402">
        <f>Datos!AQ11</f>
        <v>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8</v>
      </c>
      <c r="D15" s="402">
        <f>Datos!BK15</f>
        <v>0</v>
      </c>
      <c r="E15" s="402">
        <f>Datos!AQ15</f>
        <v>8</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Qsj30oHPNE6KS7wqE/pMMPsIkF/aGM2n9MJv297tx1aOkEbWSqg/decscxu1egzOblMe5qHgsVFFn8V6lvPmwQ==" saltValue="BmGflhOZk6X00Svgec0H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PALMAS DE GRAN CANARIA, LAS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14</v>
      </c>
      <c r="C9" s="409">
        <f>Datos!AQ9</f>
        <v>14</v>
      </c>
      <c r="D9" s="402">
        <f>IF(ISNUMBER(Datos!M9),Datos!M9," - ")</f>
        <v>2884</v>
      </c>
      <c r="E9" s="403">
        <f t="shared" ref="E9:E13" si="0">IF(ISNUMBER(D9/B9),D9/B9," - ")</f>
        <v>206</v>
      </c>
      <c r="F9" s="402">
        <f>IF(ISNUMBER(Datos!N9),Datos!N9," - ")</f>
        <v>3589</v>
      </c>
      <c r="G9" s="403">
        <f t="shared" ref="G9:G13" si="1">IF(ISNUMBER(F9/B9),F9/B9," - ")</f>
        <v>256.35714285714283</v>
      </c>
      <c r="H9" s="402">
        <f>IF(ISNUMBER(Datos!O9),Datos!O9," - ")</f>
        <v>2845</v>
      </c>
      <c r="I9" s="403">
        <f>IF(ISNUMBER(H9/B9),H9/B9," - ")</f>
        <v>203.21428571428572</v>
      </c>
      <c r="BZ9" s="1185">
        <f>Datos!EZ9</f>
        <v>0</v>
      </c>
    </row>
    <row r="10" spans="1:78">
      <c r="A10" s="401" t="str">
        <f>Datos!A10</f>
        <v>Jdos. Violencia contra la mujer/Secc Viol. TI.</v>
      </c>
      <c r="B10" s="426">
        <f>Datos!AO10</f>
        <v>3</v>
      </c>
      <c r="C10" s="409">
        <f>Datos!AQ10</f>
        <v>3</v>
      </c>
      <c r="D10" s="402">
        <f>IF(ISNUMBER(Datos!M10),Datos!M10," - ")</f>
        <v>73</v>
      </c>
      <c r="E10" s="403">
        <f>IF(ISNUMBER(D10/B10),D10/B10," - ")</f>
        <v>24.333333333333332</v>
      </c>
      <c r="F10" s="402">
        <f>IF(ISNUMBER(Datos!N10),Datos!N10," - ")</f>
        <v>47</v>
      </c>
      <c r="G10" s="403">
        <f>IF(ISNUMBER(F10/B10),F10/B10," - ")</f>
        <v>15.666666666666666</v>
      </c>
      <c r="H10" s="402">
        <f>IF(ISNUMBER(Datos!O10),Datos!O10," - ")</f>
        <v>16</v>
      </c>
      <c r="I10" s="403">
        <f t="shared" ref="I10:I12" si="2">IF(ISNUMBER(H10/B10),H10/B10," - ")</f>
        <v>5.333333333333333</v>
      </c>
      <c r="BZ10" s="1185">
        <f>Datos!EZ10</f>
        <v>0</v>
      </c>
    </row>
    <row r="11" spans="1:78">
      <c r="A11" s="401" t="str">
        <f>Datos!A11</f>
        <v xml:space="preserve">Jdos. Familia                                   </v>
      </c>
      <c r="B11" s="426">
        <f>Datos!AO11</f>
        <v>4</v>
      </c>
      <c r="C11" s="409">
        <f>Datos!AQ11</f>
        <v>4</v>
      </c>
      <c r="D11" s="402">
        <f>IF(ISNUMBER(Datos!M11),Datos!M11," - ")</f>
        <v>359</v>
      </c>
      <c r="E11" s="403">
        <f t="shared" si="0"/>
        <v>89.75</v>
      </c>
      <c r="F11" s="402">
        <f>IF(ISNUMBER(Datos!N11),Datos!N11," - ")</f>
        <v>901</v>
      </c>
      <c r="G11" s="403">
        <f t="shared" si="1"/>
        <v>225.25</v>
      </c>
      <c r="H11" s="402">
        <f>IF(ISNUMBER(Datos!O11),Datos!O11," - ")</f>
        <v>429</v>
      </c>
      <c r="I11" s="403">
        <f t="shared" si="2"/>
        <v>107.25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21</v>
      </c>
      <c r="C13" s="850">
        <f>Datos!AR13</f>
        <v>21</v>
      </c>
      <c r="D13" s="848">
        <f>SUBTOTAL(9,D9:D12)</f>
        <v>3316</v>
      </c>
      <c r="E13" s="849">
        <f t="shared" si="0"/>
        <v>157.9047619047619</v>
      </c>
      <c r="F13" s="848">
        <f>SUBTOTAL(9,F9:F12)</f>
        <v>4537</v>
      </c>
      <c r="G13" s="849">
        <f t="shared" si="1"/>
        <v>216.04761904761904</v>
      </c>
      <c r="H13" s="848">
        <f>SUBTOTAL(9,H9:H12)</f>
        <v>3290</v>
      </c>
      <c r="I13" s="849">
        <f>IF(ISNUMBER(H13/B13),H13/B13," - ")</f>
        <v>156.66666666666666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8</v>
      </c>
      <c r="C15" s="427">
        <f>Datos!AQ15</f>
        <v>8</v>
      </c>
      <c r="D15" s="402">
        <f>IF(ISNUMBER(Datos!M15),Datos!M15," - ")</f>
        <v>1070</v>
      </c>
      <c r="E15" s="403">
        <f t="shared" ref="E15:E18" si="3">IF(ISNUMBER(D15/B15),D15/B15," - ")</f>
        <v>133.75</v>
      </c>
      <c r="F15" s="402">
        <f>IF(ISNUMBER(Datos!N15),Datos!N15," - ")</f>
        <v>5591</v>
      </c>
      <c r="G15" s="403">
        <f t="shared" ref="G15:G18" si="4">IF(ISNUMBER(F15/B15),F15/B15," - ")</f>
        <v>698.875</v>
      </c>
      <c r="H15" s="402">
        <f>IF(ISNUMBER(Datos!O15),Datos!O15," - ")</f>
        <v>458</v>
      </c>
      <c r="I15" s="403">
        <f t="shared" ref="I15:I17" si="5">IF(ISNUMBER(H15/B15),H15/B15," - ")</f>
        <v>57.25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3</v>
      </c>
      <c r="C17" s="427">
        <f>Datos!AQ17</f>
        <v>3</v>
      </c>
      <c r="D17" s="402">
        <f>IF(ISNUMBER(Datos!M17),Datos!M17," - ")</f>
        <v>260</v>
      </c>
      <c r="E17" s="403">
        <f>IF(ISNUMBER(D17/B17),D17/B17," - ")</f>
        <v>86.666666666666671</v>
      </c>
      <c r="F17" s="402">
        <f>IF(ISNUMBER(Datos!N17),Datos!N17," - ")</f>
        <v>1007</v>
      </c>
      <c r="G17" s="403">
        <f>IF(ISNUMBER(F17/B17),F17/B17," - ")</f>
        <v>335.66666666666669</v>
      </c>
      <c r="H17" s="402">
        <f>IF(ISNUMBER(Datos!O17),Datos!O17," - ")</f>
        <v>33</v>
      </c>
      <c r="I17" s="403">
        <f t="shared" si="5"/>
        <v>11</v>
      </c>
      <c r="BZ17" s="1185">
        <f>Datos!EZ17</f>
        <v>0</v>
      </c>
    </row>
    <row r="18" spans="1:78" ht="14.25" thickTop="1" thickBot="1">
      <c r="A18" s="847" t="str">
        <f>Datos!A18</f>
        <v>TOTAL</v>
      </c>
      <c r="B18" s="848">
        <f>Datos!AP18</f>
        <v>11</v>
      </c>
      <c r="C18" s="850">
        <f>Datos!AR18</f>
        <v>11</v>
      </c>
      <c r="D18" s="848">
        <f>SUBTOTAL(9,D15:D17)</f>
        <v>1330</v>
      </c>
      <c r="E18" s="849">
        <f t="shared" si="3"/>
        <v>120.90909090909091</v>
      </c>
      <c r="F18" s="848">
        <f>SUBTOTAL(9,F15:F17)</f>
        <v>6598</v>
      </c>
      <c r="G18" s="849">
        <f t="shared" si="4"/>
        <v>599.81818181818187</v>
      </c>
      <c r="H18" s="848">
        <f>SUBTOTAL(9,H15:H17)</f>
        <v>491</v>
      </c>
      <c r="I18" s="849">
        <f>IF(ISNUMBER(H18/B18),H18/B18," - ")</f>
        <v>44.636363636363633</v>
      </c>
      <c r="BZ18" s="1185"/>
    </row>
    <row r="19" spans="1:78" ht="14.25" thickTop="1" thickBot="1">
      <c r="A19" s="792" t="str">
        <f>Datos!A19</f>
        <v>TOTAL JURISDICCIONES</v>
      </c>
      <c r="B19" s="793">
        <f>Datos!AP19</f>
        <v>29</v>
      </c>
      <c r="C19" s="793">
        <f>Datos!AR19</f>
        <v>29</v>
      </c>
      <c r="D19" s="793">
        <f>SUBTOTAL(9,D8:D18)</f>
        <v>4646</v>
      </c>
      <c r="E19" s="794">
        <f>IF(ISNUMBER(D19/B19),D19/B19," - ")</f>
        <v>160.20689655172413</v>
      </c>
      <c r="F19" s="793">
        <f>SUBTOTAL(9,F8:F18)</f>
        <v>11135</v>
      </c>
      <c r="G19" s="794">
        <f>IF(ISNUMBER(F19/B19),F19/B19," - ")</f>
        <v>383.9655172413793</v>
      </c>
      <c r="H19" s="793">
        <f>SUBTOTAL(9,H8:H18)</f>
        <v>3781</v>
      </c>
      <c r="I19" s="794">
        <f>IF(ISNUMBER(H19/B19),H19/B19," - ")</f>
        <v>130.37931034482759</v>
      </c>
    </row>
    <row r="22" spans="1:78">
      <c r="A22" s="390" t="str">
        <f>Criterios!A4</f>
        <v>Fecha Informe: 17 mar. 2026</v>
      </c>
    </row>
    <row r="27" spans="1:78">
      <c r="A27" s="413"/>
    </row>
  </sheetData>
  <sheetProtection algorithmName="SHA-512" hashValue="r0oJdw8cvrIwRqUR+wXctap+yYKJ2rxZEBESRoDsSop0I5xCifx8qqmIt0mgmBG74HXBWC8PvqHjkYRcxDFW/Q==" saltValue="xe2vEGV779QjlKphMaBN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PALMAS DE GRAN CANARIA, LAS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1861</v>
      </c>
      <c r="C9" s="433">
        <f>IF(ISNUMBER(Datos!Q9),Datos!Q9," - ")</f>
        <v>4301</v>
      </c>
      <c r="D9" s="407">
        <f>IF(ISNUMBER(Datos!R9),Datos!R9," - ")</f>
        <v>26323</v>
      </c>
    </row>
    <row r="10" spans="1:4">
      <c r="A10" s="401" t="str">
        <f>Datos!A10</f>
        <v>Jdos. Violencia contra la mujer/Secc Viol. TI.</v>
      </c>
      <c r="B10" s="432">
        <f>IF(ISNUMBER(Datos!P10),Datos!P10," - ")</f>
        <v>15</v>
      </c>
      <c r="C10" s="433">
        <f>IF(ISNUMBER(Datos!Q10),Datos!Q10," - ")</f>
        <v>7</v>
      </c>
      <c r="D10" s="407">
        <f>IF(ISNUMBER(Datos!R10),Datos!R10," - ")</f>
        <v>179</v>
      </c>
    </row>
    <row r="11" spans="1:4">
      <c r="A11" s="401" t="str">
        <f>Datos!A11</f>
        <v xml:space="preserve">Jdos. Familia                                   </v>
      </c>
      <c r="B11" s="432">
        <f>IF(ISNUMBER(Datos!P11),Datos!P11," - ")</f>
        <v>85</v>
      </c>
      <c r="C11" s="433">
        <f>IF(ISNUMBER(Datos!Q11),Datos!Q11," - ")</f>
        <v>163</v>
      </c>
      <c r="D11" s="407">
        <f>IF(ISNUMBER(Datos!R11),Datos!R11," - ")</f>
        <v>1104</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1961</v>
      </c>
      <c r="C13" s="852">
        <f>SUBTOTAL(9,C9:C12)</f>
        <v>4471</v>
      </c>
      <c r="D13" s="850">
        <f>SUBTOTAL(9,D9:D12)</f>
        <v>27606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440</v>
      </c>
      <c r="C15" s="433">
        <f>IF(ISNUMBER(Datos!Q15),Datos!Q15," - ")</f>
        <v>474</v>
      </c>
      <c r="D15" s="407">
        <f>IF(ISNUMBER(Datos!R15),Datos!R15," - ")</f>
        <v>908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75</v>
      </c>
      <c r="C17" s="433">
        <f>IF(ISNUMBER(Datos!Q17),Datos!Q17," - ")</f>
        <v>44</v>
      </c>
      <c r="D17" s="407">
        <f>IF(ISNUMBER(Datos!R17),Datos!R17," - ")</f>
        <v>134</v>
      </c>
    </row>
    <row r="18" spans="1:4" ht="14.25" thickTop="1" thickBot="1">
      <c r="A18" s="847" t="str">
        <f>Datos!A18</f>
        <v>TOTAL</v>
      </c>
      <c r="B18" s="848">
        <f>SUBTOTAL(9,B15:B17)</f>
        <v>515</v>
      </c>
      <c r="C18" s="852">
        <f>SUBTOTAL(9,C15:C17)</f>
        <v>518</v>
      </c>
      <c r="D18" s="850">
        <f>SUBTOTAL(9,D15:D17)</f>
        <v>1042</v>
      </c>
    </row>
    <row r="19" spans="1:4" ht="16.5" customHeight="1" thickTop="1" thickBot="1">
      <c r="A19" s="792" t="str">
        <f>Datos!A19</f>
        <v>TOTAL JURISDICCIONES</v>
      </c>
      <c r="B19" s="797">
        <f>SUBTOTAL(9,B8:B18)</f>
        <v>2476</v>
      </c>
      <c r="C19" s="798">
        <f>SUBTOTAL(9,C8:C18)</f>
        <v>4989</v>
      </c>
      <c r="D19" s="799">
        <f>SUBTOTAL(9,D8:D18)</f>
        <v>28648</v>
      </c>
    </row>
    <row r="20" spans="1:4" ht="7.5" customHeight="1"/>
    <row r="21" spans="1:4" ht="6" customHeight="1"/>
    <row r="22" spans="1:4">
      <c r="A22" s="390" t="str">
        <f>Criterios!A4</f>
        <v>Fecha Informe: 17 mar. 2026</v>
      </c>
    </row>
    <row r="27" spans="1:4">
      <c r="A27" s="413"/>
    </row>
  </sheetData>
  <sheetProtection algorithmName="SHA-512" hashValue="Wbo8xTSV7ev5VNTsBy0MdoY9XL4NC2oLHPFWcQf1Pk2z9eiVftBAyNAP8xcs7jfBkBsSTOfmY7pfdCrHOrVe+A==" saltValue="Wr23MjtbKISNscjXCXXy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PALMAS DE GRAN CANARIA, LAS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-0.20442761433148848</v>
      </c>
      <c r="C9" s="455">
        <f>IF(ISNUMBER(
   IF(J_V="SI",(Datos!J9-Datos!T9)/Datos!T9,(Datos!J9+Datos!Z9-(Datos!T9+Datos!AH9))/(Datos!T9+Datos!AH9))
     ),IF(J_V="SI",(Datos!J9-Datos!T9)/Datos!T9,(Datos!J9+Datos!Z9-(Datos!T9+Datos!AH9))/(Datos!T9+Datos!AH9))," - ")</f>
        <v>-0.37132629992464206</v>
      </c>
      <c r="D9" s="455">
        <f>IF(ISNUMBER(
   IF(J_V="SI",(Datos!K9-Datos!U9)/Datos!U9,(Datos!K9+Datos!AA9-(Datos!U9+Datos!AI9))/(Datos!U9+Datos!AI9))
     ),IF(J_V="SI",(Datos!K9-Datos!U9)/Datos!U9,(Datos!K9+Datos!AA9-(Datos!U9+Datos!AI9))/(Datos!U9+Datos!AI9))," - ")</f>
        <v>-0.29496340938441667</v>
      </c>
      <c r="E9" s="455">
        <f>IF(ISNUMBER(
   IF(J_V="SI",(Datos!L9-Datos!V9)/Datos!V9,(Datos!L9+Datos!AB9-(Datos!V9+Datos!AJ9))/(Datos!V9+Datos!AJ9))
     ),IF(J_V="SI",(Datos!L9-Datos!V9)/Datos!V9,(Datos!L9+Datos!AB9-(Datos!V9+Datos!AJ9))/(Datos!V9+Datos!AJ9))," - ")</f>
        <v>-0.22756231830271542</v>
      </c>
      <c r="F9" s="455">
        <f>IF(ISNUMBER((Datos!M9-Datos!W9)/Datos!W9),(Datos!M9-Datos!W9)/Datos!W9," - ")</f>
        <v>-3.3835845896147403E-2</v>
      </c>
      <c r="G9" s="456">
        <f>IF(ISNUMBER((Datos!N9-Datos!X9)/Datos!X9),(Datos!N9-Datos!X9)/Datos!X9," - ")</f>
        <v>-0.41221749099246641</v>
      </c>
      <c r="H9" s="454">
        <f>IF(ISNUMBER(((NºAsuntos!G9/NºAsuntos!E9)-Datos!BD9)/Datos!BD9),((NºAsuntos!G9/NºAsuntos!E9)-Datos!BD9)/Datos!BD9," - ")</f>
        <v>0.1214666535773198</v>
      </c>
      <c r="I9" s="455">
        <f>IF(ISNUMBER(((NºAsuntos!I9/NºAsuntos!G9)-Datos!BE9)/Datos!BE9),((NºAsuntos!I9/NºAsuntos!G9)-Datos!BE9)/Datos!BE9," - ")</f>
        <v>9.5599422751735399E-2</v>
      </c>
      <c r="J9" s="460">
        <f>IF(ISNUMBER((('Resol  Asuntos'!D9/NºAsuntos!G9)-Datos!BF9)/Datos!BF9),(('Resol  Asuntos'!D9/NºAsuntos!G9)-Datos!BF9)/Datos!BF9," - ")</f>
        <v>-0.33007405258754074</v>
      </c>
      <c r="K9" s="461">
        <f>IF(ISNUMBER((((NºAsuntos!C9+NºAsuntos!E9)/NºAsuntos!G9)-Datos!BG9)/Datos!BG9),(((NºAsuntos!C9+NºAsuntos!E9)/NºAsuntos!G9)-Datos!BG9)/Datos!BG9," - ")</f>
        <v>3.7953379310552295E-2</v>
      </c>
    </row>
    <row r="10" spans="1:11" ht="21">
      <c r="A10" s="401" t="str">
        <f>Datos!A10</f>
        <v>Jdos. Violencia contra la mujer/Secc Viol. TI.</v>
      </c>
      <c r="B10" s="454">
        <f>IF(ISNUMBER((Datos!I10-Datos!S10)/Datos!S10),(Datos!I10-Datos!S10)/Datos!S10," - ")</f>
        <v>0.41970802919708028</v>
      </c>
      <c r="C10" s="455">
        <f>IF(ISNUMBER((Datos!J10-Datos!T10)/Datos!T10),(Datos!J10-Datos!T10)/Datos!T10," - ")</f>
        <v>-1.9607843137254902E-2</v>
      </c>
      <c r="D10" s="455">
        <f>IF(ISNUMBER((Datos!K10-Datos!U10)/Datos!U10),(Datos!K10-Datos!U10)/Datos!U10," - ")</f>
        <v>0.30630630630630629</v>
      </c>
      <c r="E10" s="455">
        <f>IF(ISNUMBER((Datos!L10-Datos!V10)/Datos!V10),(Datos!L10-Datos!V10)/Datos!V10," - ")</f>
        <v>0.24683544303797469</v>
      </c>
      <c r="F10" s="455">
        <f>IF(ISNUMBER((Datos!M10-Datos!W10)/Datos!W10),(Datos!M10-Datos!W10)/Datos!W10," - ")</f>
        <v>0.25862068965517243</v>
      </c>
      <c r="G10" s="456">
        <f>IF(ISNUMBER((Datos!N10-Datos!X10)/Datos!X10),(Datos!N10-Datos!X10)/Datos!X10," - ")</f>
        <v>0.11904761904761904</v>
      </c>
      <c r="H10" s="454">
        <f>IF(ISNUMBER(((NºAsuntos!G10/NºAsuntos!E10)-Datos!BD10)/Datos!BD10),((NºAsuntos!G10/NºAsuntos!E10)-Datos!BD10)/Datos!BD10," - ")</f>
        <v>0.33243243243243248</v>
      </c>
      <c r="I10" s="455">
        <f>IF(ISNUMBER(((NºAsuntos!I10/NºAsuntos!G10)-Datos!BE10)/Datos!BE10),((NºAsuntos!I10/NºAsuntos!G10)-Datos!BE10)/Datos!BE10," - ")</f>
        <v>-4.5525971191619274E-2</v>
      </c>
      <c r="J10" s="460">
        <f>IF(ISNUMBER((('Resol  Asuntos'!D10/NºAsuntos!G10)-Datos!BF10)/Datos!BF10),(('Resol  Asuntos'!D10/NºAsuntos!G10)-Datos!BF10)/Datos!BF10," - ")</f>
        <v>-3.6504161712247296E-2</v>
      </c>
      <c r="K10" s="461">
        <f>IF(ISNUMBER((((NºAsuntos!C10+NºAsuntos!E10)/NºAsuntos!G10)-Datos!BG10)/Datos!BG10),(((NºAsuntos!C10+NºAsuntos!E10)/NºAsuntos!G10)-Datos!BG10)/Datos!BG10," - ")</f>
        <v>-3.3691351045788499E-2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7.8378378378378383E-2</v>
      </c>
      <c r="C11" s="455">
        <f>IF(ISNUMBER(
   IF(J_V="SI",(Datos!J11-Datos!T11)/Datos!T11,(Datos!J11+Datos!Z11-(Datos!T11+Datos!AH11))/(Datos!T11+Datos!AH11))
     ),IF(J_V="SI",(Datos!J11-Datos!T11)/Datos!T11,(Datos!J11+Datos!Z11-(Datos!T11+Datos!AH11))/(Datos!T11+Datos!AH11))," - ")</f>
        <v>-0.15972618368511124</v>
      </c>
      <c r="D11" s="455">
        <f>IF(ISNUMBER(
   IF(J_V="SI",(Datos!K11-Datos!U11)/Datos!U11,(Datos!K11+Datos!AA11-(Datos!U11+Datos!AI11))/(Datos!U11+Datos!AI11))
     ),IF(J_V="SI",(Datos!K11-Datos!U11)/Datos!U11,(Datos!K11+Datos!AA11-(Datos!U11+Datos!AI11))/(Datos!U11+Datos!AI11))," - ")</f>
        <v>-5.1764705882352942E-2</v>
      </c>
      <c r="E11" s="455">
        <f>IF(ISNUMBER(
   IF(J_V="SI",(Datos!L11-Datos!V11)/Datos!V11,(Datos!L11+Datos!AB11-(Datos!V11+Datos!AJ11))/(Datos!V11+Datos!AJ11))
     ),IF(J_V="SI",(Datos!L11-Datos!V11)/Datos!V11,(Datos!L11+Datos!AB11-(Datos!V11+Datos!AJ11))/(Datos!V11+Datos!AJ11))," - ")</f>
        <v>-6.9009584664536744E-2</v>
      </c>
      <c r="F11" s="455">
        <f>IF(ISNUMBER((Datos!M11-Datos!W11)/Datos!W11),(Datos!M11-Datos!W11)/Datos!W11," - ")</f>
        <v>0.10461538461538461</v>
      </c>
      <c r="G11" s="456">
        <f>IF(ISNUMBER((Datos!N11-Datos!X11)/Datos!X11),(Datos!N11-Datos!X11)/Datos!X11," - ")</f>
        <v>-0.12268743914313535</v>
      </c>
      <c r="H11" s="454">
        <f>IF(ISNUMBER(((NºAsuntos!G11/NºAsuntos!E11)-Datos!BD11)/Datos!BD11),((NºAsuntos!G11/NºAsuntos!E11)-Datos!BD11)/Datos!BD11," - ")</f>
        <v>0.12848368675372387</v>
      </c>
      <c r="I11" s="455">
        <f>IF(ISNUMBER(((NºAsuntos!I11/NºAsuntos!G11)-Datos!BE11)/Datos!BE11),((NºAsuntos!I11/NºAsuntos!G11)-Datos!BE11)/Datos!BE11," - ")</f>
        <v>-1.8186286556893524E-2</v>
      </c>
      <c r="J11" s="460">
        <f>IF(ISNUMBER((('Resol  Asuntos'!D11/NºAsuntos!G11)-Datos!BF11)/Datos!BF11),(('Resol  Asuntos'!D11/NºAsuntos!G11)-Datos!BF11)/Datos!BF11," - ")</f>
        <v>-0.6313553895926608</v>
      </c>
      <c r="K11" s="461">
        <f>IF(ISNUMBER((((NºAsuntos!C11+NºAsuntos!E11)/NºAsuntos!G11)-Datos!BG11)/Datos!BG11),(((NºAsuntos!C11+NºAsuntos!E11)/NºAsuntos!G11)-Datos!BG11)/Datos!BG11," - ")</f>
        <v>1.0944823812128746E-3</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-0.17326497172154975</v>
      </c>
      <c r="C13" s="854">
        <f>IF(ISNUMBER(
   IF(J_V="SI",(Datos!J13-Datos!T13)/Datos!T13,(Datos!J13+Datos!Z13-(Datos!T13+Datos!AH13))/(Datos!T13+Datos!AH13))
     ),IF(J_V="SI",(Datos!J13-Datos!T13)/Datos!T13,(Datos!J13+Datos!Z13-(Datos!T13+Datos!AH13))/(Datos!T13+Datos!AH13))," - ")</f>
        <v>-0.33740616514933719</v>
      </c>
      <c r="D13" s="854">
        <f>IF(ISNUMBER(
   IF(J_V="SI",(Datos!K13-Datos!U13)/Datos!U13,(Datos!K13+Datos!AA13-(Datos!U13+Datos!AI13))/(Datos!U13+Datos!AI13))
     ),IF(J_V="SI",(Datos!K13-Datos!U13)/Datos!U13,(Datos!K13+Datos!AA13-(Datos!U13+Datos!AI13))/(Datos!U13+Datos!AI13))," - ")</f>
        <v>-0.25919856993892448</v>
      </c>
      <c r="E13" s="854">
        <f>IF(ISNUMBER(
   IF(J_V="SI",(Datos!L13-Datos!V13)/Datos!V13,(Datos!L13+Datos!AB13-(Datos!V13+Datos!AJ13))/(Datos!V13+Datos!AJ13))
     ),IF(J_V="SI",(Datos!L13-Datos!V13)/Datos!V13,(Datos!L13+Datos!AB13-(Datos!V13+Datos!AJ13))/(Datos!V13+Datos!AJ13))," - ")</f>
        <v>-0.2055075354609929</v>
      </c>
      <c r="F13" s="855">
        <f>IF(ISNUMBER((Datos!M13-Datos!W13)/Datos!W13),(Datos!M13-Datos!W13)/Datos!W13," - ")</f>
        <v>-1.5439429928741092E-2</v>
      </c>
      <c r="G13" s="856">
        <f>IF(ISNUMBER((Datos!N13-Datos!X13)/Datos!X13),(Datos!N13-Datos!X13)/Datos!X13," - ")</f>
        <v>-0.36766550522648084</v>
      </c>
      <c r="H13" s="856">
        <f>IF(ISNUMBER(((NºAsuntos!G13/NºAsuntos!E13)-Datos!BD13)/Datos!BD13),((NºAsuntos!G13/NºAsuntos!E13)-Datos!BD13)/Datos!BD13," - ")</f>
        <v>0.11803248249063381</v>
      </c>
      <c r="I13" s="856">
        <f>IF(ISNUMBER(((NºAsuntos!I13/NºAsuntos!G13)-Datos!BE13)/Datos!BE13),((NºAsuntos!I13/NºAsuntos!G13)-Datos!BE13)/Datos!BE13," - ")</f>
        <v>7.2476958465786195E-2</v>
      </c>
      <c r="J13" s="856">
        <f>IF(ISNUMBER((('Resol  Asuntos'!D13/NºAsuntos!G13)-Datos!BF13)/Datos!BF13),(('Resol  Asuntos'!D13/NºAsuntos!G13)-Datos!BF13)/Datos!BF13," - ")</f>
        <v>-0.37752283971605488</v>
      </c>
      <c r="K13" s="856">
        <f>IF(ISNUMBER((((NºAsuntos!C13+NºAsuntos!E13)/NºAsuntos!G13)-Datos!BG13)/Datos!BG13),(((NºAsuntos!C13+NºAsuntos!E13)/NºAsuntos!G13)-Datos!BG13)/Datos!BG13," - ")</f>
        <v>2.7755240724772881E-2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7.1118820468343447E-2</v>
      </c>
      <c r="C15" s="455">
        <f>IF(ISNUMBER(
   IF(D_I="SI",(Datos!J15-Datos!T15)/Datos!T15,(Datos!J15+Datos!AD15-(Datos!T15+Datos!AL15))/(Datos!T15+Datos!AL15))
     ),IF(D_I="SI",(Datos!J15-Datos!T15)/Datos!T15,(Datos!J15+Datos!AD15-(Datos!T15+Datos!AL15))/(Datos!T15+Datos!AL15))," - ")</f>
        <v>-4.4697833523375141E-2</v>
      </c>
      <c r="D15" s="455">
        <f>IF(ISNUMBER(
   IF(D_I="SI",(Datos!K15-Datos!U15)/Datos!U15,(Datos!K15+Datos!AE15-(Datos!U15+Datos!AM15))/(Datos!U15+Datos!AM15))
     ),IF(D_I="SI",(Datos!K15-Datos!U15)/Datos!U15,(Datos!K15+Datos!AE15-(Datos!U15+Datos!AM15))/(Datos!U15+Datos!AM15))," - ")</f>
        <v>-4.7656513431493762E-2</v>
      </c>
      <c r="E15" s="455">
        <f>IF(ISNUMBER(
   IF(D_I="SI",(Datos!L15-Datos!V15)/Datos!V15,(Datos!L15+Datos!AF15-(Datos!V15+Datos!AN15))/(Datos!V15+Datos!AN15))
     ),IF(D_I="SI",(Datos!L15-Datos!V15)/Datos!V15,(Datos!L15+Datos!AF15-(Datos!V15+Datos!AN15))/(Datos!V15+Datos!AN15))," - ")</f>
        <v>6.8778476893035359E-2</v>
      </c>
      <c r="F15" s="455">
        <f>IF(ISNUMBER((Datos!M15-Datos!W15)/Datos!W15),(Datos!M15-Datos!W15)/Datos!W15," - ")</f>
        <v>-1.3824884792626729E-2</v>
      </c>
      <c r="G15" s="456">
        <f>IF(ISNUMBER((Datos!N15-Datos!X15)/Datos!X15),(Datos!N15-Datos!X15)/Datos!X15," - ")</f>
        <v>-2.7990264255910988E-2</v>
      </c>
      <c r="H15" s="454">
        <f>IF(ISNUMBER(((NºAsuntos!G15/NºAsuntos!E15)-Datos!BD15)/Datos!BD15),((NºAsuntos!G15/NºAsuntos!E15)-Datos!BD15)/Datos!BD15," - ")</f>
        <v>-3.0971142031749827E-3</v>
      </c>
      <c r="I15" s="455">
        <f>IF(ISNUMBER(((NºAsuntos!I15/NºAsuntos!G15)-Datos!BE15)/Datos!BE15),((NºAsuntos!I15/NºAsuntos!G15)-Datos!BE15)/Datos!BE15," - ")</f>
        <v>0.12226154950045279</v>
      </c>
      <c r="J15" s="460">
        <f>IF(ISNUMBER((('Resol  Asuntos'!D15/NºAsuntos!G15)-Datos!BF15)/Datos!BF15),(('Resol  Asuntos'!D15/NºAsuntos!G15)-Datos!BF15)/Datos!BF15," - ")</f>
        <v>3.5524607577009343E-2</v>
      </c>
      <c r="K15" s="461">
        <f>IF(ISNUMBER((((NºAsuntos!C15+NºAsuntos!E15)/NºAsuntos!G15)-Datos!BG15)/Datos!BG15),(((NºAsuntos!C15+NºAsuntos!E15)/NºAsuntos!G15)-Datos!BG15)/Datos!BG15," - ")</f>
        <v>4.5019439226217761E-2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0.5505050505050505</v>
      </c>
      <c r="C17" s="455">
        <f>IF(ISNUMBER(
   IF(D_I="SI",(Datos!J17-Datos!T17)/Datos!T17,(Datos!J17+Datos!AD17-(Datos!T17+Datos!AL17))/(Datos!T17+Datos!AL17))
     ),IF(D_I="SI",(Datos!J17-Datos!T17)/Datos!T17,(Datos!J17+Datos!AD17-(Datos!T17+Datos!AL17))/(Datos!T17+Datos!AL17))," - ")</f>
        <v>0.10103420843277645</v>
      </c>
      <c r="D17" s="455">
        <f>IF(ISNUMBER(
   IF(D_I="SI",(Datos!K17-Datos!U17)/Datos!U17,(Datos!K17+Datos!AE17-(Datos!U17+Datos!AM17))/(Datos!U17+Datos!AM17))
     ),IF(D_I="SI",(Datos!K17-Datos!U17)/Datos!U17,(Datos!K17+Datos!AE17-(Datos!U17+Datos!AM17))/(Datos!U17+Datos!AM17))," - ")</f>
        <v>0.23653198653198654</v>
      </c>
      <c r="E17" s="455">
        <f>IF(ISNUMBER(
   IF(D_I="SI",(Datos!L17-Datos!V17)/Datos!V17,(Datos!L17+Datos!AF17-(Datos!V17+Datos!AN17))/(Datos!V17+Datos!AN17))
     ),IF(D_I="SI",(Datos!L17-Datos!V17)/Datos!V17,(Datos!L17+Datos!AF17-(Datos!V17+Datos!AN17))/(Datos!V17+Datos!AN17))," - ")</f>
        <v>0.13948497854077252</v>
      </c>
      <c r="F17" s="455">
        <f>IF(ISNUMBER((Datos!M17-Datos!W17)/Datos!W17),(Datos!M17-Datos!W17)/Datos!W17," - ")</f>
        <v>-6.4748201438848921E-2</v>
      </c>
      <c r="G17" s="456">
        <f>IF(ISNUMBER((Datos!N17-Datos!X17)/Datos!X17),(Datos!N17-Datos!X17)/Datos!X17," - ")</f>
        <v>0.35167785234899329</v>
      </c>
      <c r="H17" s="454">
        <f>IF(ISNUMBER(((NºAsuntos!G17/NºAsuntos!E17)-Datos!BD17)/Datos!BD17),((NºAsuntos!G17/NºAsuntos!E17)-Datos!BD17)/Datos!BD17," - ")</f>
        <v>0.12306409470426824</v>
      </c>
      <c r="I17" s="455">
        <f>IF(ISNUMBER(((NºAsuntos!I17/NºAsuntos!G17)-Datos!BE17)/Datos!BE17),((NºAsuntos!I17/NºAsuntos!G17)-Datos!BE17)/Datos!BE17," - ")</f>
        <v>-7.8483216809776921E-2</v>
      </c>
      <c r="J17" s="460">
        <f>IF(ISNUMBER((('Resol  Asuntos'!D17/NºAsuntos!G17)-Datos!BF17)/Datos!BF17),(('Resol  Asuntos'!D17/NºAsuntos!G17)-Datos!BF17)/Datos!BF17," - ")</f>
        <v>-0.24364932832495065</v>
      </c>
      <c r="K17" s="461">
        <f>IF(ISNUMBER((((NºAsuntos!C17+NºAsuntos!E17)/NºAsuntos!G17)-Datos!BG17)/Datos!BG17),(((NºAsuntos!C17+NºAsuntos!E17)/NºAsuntos!G17)-Datos!BG17)/Datos!BG17," - ")</f>
        <v>-2.2498854116347708E-2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0.10902555910543131</v>
      </c>
      <c r="C18" s="854">
        <f>IF(ISNUMBER(
   IF(Criterios!B14="SI",(Datos!J18-Datos!T18)/Datos!T18,(Datos!J18+Datos!AD18-(Datos!T18+Datos!AL18))/(Datos!T18+Datos!AL18))
     ),IF(Criterios!B14="SI",(Datos!J18-Datos!T18)/Datos!T18,(Datos!J18+Datos!AD18-(Datos!T18+Datos!AL18))/(Datos!T18+Datos!AL18))," - ")</f>
        <v>-2.6428642664805026E-2</v>
      </c>
      <c r="D18" s="854">
        <f>IF(ISNUMBER(
   IF(Criterios!B14="SI",(Datos!K18-Datos!U18)/Datos!U18,(Datos!K18+Datos!AE18-(Datos!U18+Datos!AM18))/(Datos!U18+Datos!AM18))
     ),IF(Criterios!B14="SI",(Datos!K18-Datos!U18)/Datos!U18,(Datos!K18+Datos!AE18-(Datos!U18+Datos!AM18))/(Datos!U18+Datos!AM18))," - ")</f>
        <v>-1.4179474467030244E-2</v>
      </c>
      <c r="E18" s="854">
        <f>IF(ISNUMBER(
   IF(Criterios!B14="SI",(Datos!L18-Datos!V18)/Datos!V18,(Datos!L18+Datos!AF18-(Datos!V18+Datos!AN18))/(Datos!V18+Datos!AN18))
     ),IF(Criterios!B14="SI",(Datos!L18-Datos!V18)/Datos!V18,(Datos!L18+Datos!AF18-(Datos!V18+Datos!AN18))/(Datos!V18+Datos!AN18))," - ")</f>
        <v>7.5270935960591132E-2</v>
      </c>
      <c r="F18" s="855">
        <f>IF(ISNUMBER((Datos!M18-Datos!W18)/Datos!W18),(Datos!M18-Datos!W18)/Datos!W18," - ")</f>
        <v>-2.4211298606016139E-2</v>
      </c>
      <c r="G18" s="856">
        <f>IF(ISNUMBER((Datos!N18-Datos!X18)/Datos!X18),(Datos!N18-Datos!X18)/Datos!X18," - ")</f>
        <v>1.5545636447591197E-2</v>
      </c>
      <c r="H18" s="856">
        <f>IF(ISNUMBER(((NºAsuntos!G18/NºAsuntos!E18)-Datos!BD18)/Datos!BD18),((NºAsuntos!G18/NºAsuntos!E18)-Datos!BD18)/Datos!BD18," - ")</f>
        <v>1.2581685056247339E-2</v>
      </c>
      <c r="I18" s="856">
        <f>IF(ISNUMBER(((NºAsuntos!I18/NºAsuntos!G18)-Datos!BE18)/Datos!BE18),((NºAsuntos!I18/NºAsuntos!G18)-Datos!BE18)/Datos!BE18," - ")</f>
        <v>9.0737013595107788E-2</v>
      </c>
      <c r="J18" s="856">
        <f>IF(ISNUMBER((('Resol  Asuntos'!D18/NºAsuntos!G18)-Datos!BF18)/Datos!BF18),(('Resol  Asuntos'!D18/NºAsuntos!G18)-Datos!BF18)/Datos!BF18," - ")</f>
        <v>-1.0176116117649655E-2</v>
      </c>
      <c r="K18" s="856">
        <f>IF(ISNUMBER((((NºAsuntos!C18+NºAsuntos!E18)/NºAsuntos!G18)-Datos!BG18)/Datos!BG18),(((NºAsuntos!C18+NºAsuntos!E18)/NºAsuntos!G18)-Datos!BG18)/Datos!BG18," - ")</f>
        <v>3.3341970057527613E-2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-0.11418063275797216</v>
      </c>
      <c r="C19" s="801">
        <f>IF(ISNUMBER(
   IF(J_V="SI",(Datos!J19-Datos!T19)/Datos!T19,(Datos!J19+Datos!Z19-(Datos!T19+Datos!AH19))/(Datos!T19+Datos!AH19))
     ),IF(J_V="SI",(Datos!J19-Datos!T19)/Datos!T19,(Datos!J19+Datos!Z19-(Datos!T19+Datos!AH19))/(Datos!T19+Datos!AH19))," - ")</f>
        <v>-0.19912191227992374</v>
      </c>
      <c r="D19" s="801">
        <f>IF(ISNUMBER(
   IF(J_V="SI",(Datos!K19-Datos!U19)/Datos!U19,(Datos!K19+Datos!AA19-(Datos!U19+Datos!AI19))/(Datos!U19+Datos!AI19))
     ),IF(J_V="SI",(Datos!K19-Datos!U19)/Datos!U19,(Datos!K19+Datos!AA19-(Datos!U19+Datos!AI19))/(Datos!U19+Datos!AI19))," - ")</f>
        <v>-0.15409808174896858</v>
      </c>
      <c r="E19" s="801">
        <f>IF(ISNUMBER(
   IF(J_V="SI",(Datos!L19-Datos!V19)/Datos!V19,(Datos!L19+Datos!AB19-(Datos!V19+Datos!AJ19))/(Datos!V19+Datos!AJ19))
     ),IF(J_V="SI",(Datos!L19-Datos!V19)/Datos!V19,(Datos!L19+Datos!AB19-(Datos!V19+Datos!AJ19))/(Datos!V19+Datos!AJ19))," - ")</f>
        <v>-0.14388271418068591</v>
      </c>
      <c r="F19" s="802">
        <f>IF(ISNUMBER((Datos!M19-Datos!W19)/Datos!W19),(Datos!M19-Datos!W19)/Datos!W19," - ")</f>
        <v>-1.7966603255125765E-2</v>
      </c>
      <c r="G19" s="803">
        <f>IF(ISNUMBER((Datos!N19-Datos!X19)/Datos!X19),(Datos!N19-Datos!X19)/Datos!X19," - ")</f>
        <v>-0.18556173200702164</v>
      </c>
      <c r="H19" s="804">
        <f>IF(ISNUMBER((Tasas!B19-Datos!BD19)/Datos!BD19),(Tasas!B19-Datos!BD19)/Datos!BD19," - ")</f>
        <v>5.6218082653663452E-2</v>
      </c>
      <c r="I19" s="805">
        <f>IF(ISNUMBER((Tasas!C19-Datos!BE19)/Datos!BE19),(Tasas!C19-Datos!BE19)/Datos!BE19," - ")</f>
        <v>1.2076302639676963E-2</v>
      </c>
      <c r="J19" s="806">
        <f>IF(ISNUMBER((Tasas!D19-Datos!BF19)/Datos!BF19),(Tasas!D19-Datos!BF19)/Datos!BF19," - ")</f>
        <v>-0.35791880638660911</v>
      </c>
      <c r="K19" s="806">
        <f>IF(ISNUMBER((Tasas!E19-Datos!BG19)/Datos!BG19),(Tasas!E19-Datos!BG19)/Datos!BG19," - ")</f>
        <v>-1.5296673506934838E-3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66VeSQvLWfiEvcQb3yocygPl2842JOWlDQWy/Y37xh//0+B1GDay8LqNfkZiNUrfArDerQvmDZgzuXHvArh3IQ==" saltValue="VOTnCKP3DfJzxSrLKCGQ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PALMAS DE GRAN CANARIA, LAS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1.2270002996703626</v>
      </c>
      <c r="C9" s="442">
        <f>IF(ISNUMBER(NºAsuntos!I9/NºAsuntos!G9),NºAsuntos!I9/NºAsuntos!G9," - ")</f>
        <v>1.524972524117719</v>
      </c>
      <c r="D9" s="443">
        <f>IF(ISNUMBER('Resol  Asuntos'!D9/NºAsuntos!G9),'Resol  Asuntos'!D9/NºAsuntos!G9," - ")</f>
        <v>0.35217975332763463</v>
      </c>
      <c r="E9" s="444">
        <f>IF(ISNUMBER((NºAsuntos!C9+NºAsuntos!E9)/NºAsuntos!G9),(NºAsuntos!C9+NºAsuntos!E9)/NºAsuntos!G9," - ")</f>
        <v>2.4825986078886313</v>
      </c>
      <c r="G9" s="462"/>
    </row>
    <row r="10" spans="1:7" ht="21">
      <c r="A10" s="401" t="str">
        <f>Datos!A10</f>
        <v>Jdos. Violencia contra la mujer/Secc Viol. TI.</v>
      </c>
      <c r="B10" s="441">
        <f>IF(ISNUMBER(NºAsuntos!G10/NºAsuntos!E10),NºAsuntos!G10/NºAsuntos!E10," - ")</f>
        <v>0.96666666666666667</v>
      </c>
      <c r="C10" s="442">
        <f>IF(ISNUMBER(NºAsuntos!I10/NºAsuntos!G10),NºAsuntos!I10/NºAsuntos!G10," - ")</f>
        <v>2.7172413793103449</v>
      </c>
      <c r="D10" s="443">
        <f>IF(ISNUMBER('Resol  Asuntos'!D10/NºAsuntos!G10),'Resol  Asuntos'!D10/NºAsuntos!G10," - ")</f>
        <v>0.50344827586206897</v>
      </c>
      <c r="E10" s="444">
        <f>IF(ISNUMBER((NºAsuntos!C10+NºAsuntos!E10)/NºAsuntos!G10),(NºAsuntos!C10+NºAsuntos!E10)/NºAsuntos!G10," - ")</f>
        <v>3.7172413793103449</v>
      </c>
      <c r="G10" s="462"/>
    </row>
    <row r="11" spans="1:7">
      <c r="A11" s="401" t="str">
        <f>Datos!A11</f>
        <v xml:space="preserve">Jdos. Familia                                   </v>
      </c>
      <c r="B11" s="441">
        <f>IF(ISNUMBER(NºAsuntos!G11/NºAsuntos!E11),NºAsuntos!G11/NºAsuntos!E11," - ")</f>
        <v>1.0943652410047522</v>
      </c>
      <c r="C11" s="442">
        <f>IF(ISNUMBER(NºAsuntos!I11/NºAsuntos!G11),NºAsuntos!I11/NºAsuntos!G11," - ")</f>
        <v>0.90384615384615385</v>
      </c>
      <c r="D11" s="443">
        <f>IF(ISNUMBER('Resol  Asuntos'!D11/NºAsuntos!G11),'Resol  Asuntos'!D11/NºAsuntos!G11," - ")</f>
        <v>0.2227047146401985</v>
      </c>
      <c r="E11" s="444">
        <f>IF(ISNUMBER((NºAsuntos!C11+NºAsuntos!E11)/NºAsuntos!G11),(NºAsuntos!C11+NºAsuntos!E11)/NºAsuntos!G11," - ")</f>
        <v>1.9038461538461537</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1.1987465348921298</v>
      </c>
      <c r="C13" s="858">
        <f>IF(ISNUMBER(NºAsuntos!I13/NºAsuntos!G13),NºAsuntos!I13/NºAsuntos!G13," - ")</f>
        <v>1.4416850995375026</v>
      </c>
      <c r="D13" s="859">
        <f>IF(ISNUMBER('Resol  Asuntos'!D13/NºAsuntos!G13),'Resol  Asuntos'!D13/NºAsuntos!G13," - ")</f>
        <v>0.33340036195455458</v>
      </c>
      <c r="E13" s="860">
        <f>IF(ISNUMBER((NºAsuntos!C13+NºAsuntos!E13)/NºAsuntos!G13),(NºAsuntos!C13+NºAsuntos!E13)/NºAsuntos!G13," - ")</f>
        <v>2.4067967021918357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1.0113392217713058</v>
      </c>
      <c r="C15" s="442">
        <f>IF(ISNUMBER(NºAsuntos!I15/NºAsuntos!G15),NºAsuntos!I15/NºAsuntos!G15," - ")</f>
        <v>0.58137613596128879</v>
      </c>
      <c r="D15" s="443">
        <f>IF(ISNUMBER('Resol  Asuntos'!D15/NºAsuntos!G15),'Resol  Asuntos'!D15/NºAsuntos!G15," - ")</f>
        <v>0.12628348872890358</v>
      </c>
      <c r="E15" s="444">
        <f>IF(ISNUMBER((NºAsuntos!C15+NºAsuntos!E15)/NºAsuntos!G15),(NºAsuntos!C15+NºAsuntos!E15)/NºAsuntos!G15," - ")</f>
        <v>1.5718163578425588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1.0614161849710984</v>
      </c>
      <c r="C17" s="442">
        <f>IF(ISNUMBER(NºAsuntos!I17/NºAsuntos!G17),NºAsuntos!I17/NºAsuntos!G17," - ")</f>
        <v>0.36147038801906056</v>
      </c>
      <c r="D17" s="443">
        <f>IF(ISNUMBER('Resol  Asuntos'!D17/NºAsuntos!G17),'Resol  Asuntos'!D17/NºAsuntos!G17," - ")</f>
        <v>0.17699115044247787</v>
      </c>
      <c r="E17" s="444">
        <f>IF(ISNUMBER((NºAsuntos!C17+NºAsuntos!E17)/NºAsuntos!G17),(NºAsuntos!C17+NºAsuntos!E17)/NºAsuntos!G17," - ")</f>
        <v>1.3601089176310415</v>
      </c>
      <c r="G17" s="462"/>
    </row>
    <row r="18" spans="1:7" ht="14.25" thickTop="1" thickBot="1">
      <c r="A18" s="847" t="str">
        <f>Datos!A18</f>
        <v>TOTAL</v>
      </c>
      <c r="B18" s="857">
        <f>IF(ISNUMBER(NºAsuntos!G18/NºAsuntos!E18),NºAsuntos!G18/NºAsuntos!E18," - ")</f>
        <v>1.018438844499078</v>
      </c>
      <c r="C18" s="858">
        <f>IF(ISNUMBER(NºAsuntos!I18/NºAsuntos!G18),NºAsuntos!I18/NºAsuntos!G18," - ")</f>
        <v>0.54888352444176225</v>
      </c>
      <c r="D18" s="861">
        <f>IF(ISNUMBER('Resol  Asuntos'!D18/NºAsuntos!G18),'Resol  Asuntos'!D18/NºAsuntos!G18," - ")</f>
        <v>0.13377590022128344</v>
      </c>
      <c r="E18" s="860">
        <f>IF(ISNUMBER((NºAsuntos!C18+NºAsuntos!E18)/NºAsuntos!G18),(NºAsuntos!C18+NºAsuntos!E18)/NºAsuntos!G18," - ")</f>
        <v>1.5405351036008852</v>
      </c>
      <c r="G18" s="462"/>
    </row>
    <row r="19" spans="1:7" ht="15.75" customHeight="1" thickTop="1" thickBot="1">
      <c r="A19" s="792" t="str">
        <f>Datos!A19</f>
        <v>TOTAL JURISDICCIONES</v>
      </c>
      <c r="B19" s="807">
        <f>IF(ISNUMBER(NºAsuntos!G19/NºAsuntos!E19),NºAsuntos!G19/NºAsuntos!E19," - ")</f>
        <v>1.1012791405947173</v>
      </c>
      <c r="C19" s="808">
        <f>IF(ISNUMBER(NºAsuntos!I19/NºAsuntos!G19),NºAsuntos!I19/NºAsuntos!G19," - ")</f>
        <v>0.9953740949316171</v>
      </c>
      <c r="D19" s="809">
        <f>IF(ISNUMBER('Resol  Asuntos'!D19/NºAsuntos!G19),'Resol  Asuntos'!D19/NºAsuntos!G19," - ")</f>
        <v>0.2336082059533387</v>
      </c>
      <c r="E19" s="810">
        <f>IF(ISNUMBER((NºAsuntos!C19+NºAsuntos!E19)/NºAsuntos!G19),(NºAsuntos!C19+NºAsuntos!E19)/NºAsuntos!G19," - ")</f>
        <v>1.9737530168946098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xszYS+AzjzkgIJ5TTU7nXHrDUPAk6/f44Vl/OsBD+x55AaoxwjDuj8Fhyhespffo/0snGFmDdWaC33IYndBvQ==" saltValue="LOxkr40fDnZmJvpnHlDJ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PALMAS DE GRAN CANARIA, LAS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14</v>
      </c>
      <c r="B9" s="176" t="s">
        <v>246</v>
      </c>
      <c r="C9" s="159" t="str">
        <f>Datos!A9</f>
        <v xml:space="preserve">Jdos. 1ª Instancia   </v>
      </c>
      <c r="D9" s="159"/>
      <c r="E9" s="1024">
        <f>IF(ISNUMBER(Datos!AQ9),Datos!AQ9," - ")</f>
        <v>14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1861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4301</v>
      </c>
      <c r="Y9" s="333">
        <f>SUM(W9:X9)</f>
        <v>4301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26323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2884</v>
      </c>
      <c r="AJ9" s="228" t="str">
        <f>IF(ISNUMBER(Datos!BW9),Datos!BW9," - ")</f>
        <v xml:space="preserve"> - </v>
      </c>
      <c r="AK9" s="227" t="str">
        <f>IF(ISNUMBER(Datos!BX9),Datos!BX9," - ")</f>
        <v xml:space="preserve"> - </v>
      </c>
      <c r="AL9" s="242">
        <f>IF(ISNUMBER(NºAsuntos!G9/NºAsuntos!E9),NºAsuntos!G9/NºAsuntos!E9," - ")</f>
        <v>1.2270002996703626</v>
      </c>
      <c r="AM9" s="259">
        <f>IF(ISNUMBER(((NºAsuntos!I9/NºAsuntos!G9)*11)/factor_trimestre),((NºAsuntos!I9/NºAsuntos!G9)*11)/factor_trimestre," - ")</f>
        <v>4.574917572353157</v>
      </c>
      <c r="AN9" s="243">
        <f>IF(ISNUMBER('Resol  Asuntos'!D9/NºAsuntos!G9),'Resol  Asuntos'!D9/NºAsuntos!G9," - ")</f>
        <v>0.35217975332763463</v>
      </c>
      <c r="AO9" s="244">
        <f>IF(ISNUMBER((NºAsuntos!C9+NºAsuntos!E9)/NºAsuntos!G9),(NºAsuntos!C9+NºAsuntos!E9)/NºAsuntos!G9," - ")</f>
        <v>2.4825986078886313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3</v>
      </c>
      <c r="B10" s="274" t="s">
        <v>246</v>
      </c>
      <c r="C10" s="7" t="str">
        <f>Datos!A10</f>
        <v>Jdos. Violencia contra la mujer/Secc Viol. TI.</v>
      </c>
      <c r="D10" s="7"/>
      <c r="E10" s="1024">
        <f>IF(ISNUMBER(Datos!AQ10),Datos!AQ10," - ")</f>
        <v>3</v>
      </c>
      <c r="F10" s="224">
        <f>IF(ISNUMBER(Datos!L10+Datos!K10-Datos!J10-K10),Datos!L10+Datos!K10-Datos!J10-K10," - ")</f>
        <v>389</v>
      </c>
      <c r="G10" s="332">
        <f>IF(ISNUMBER(Datos!I10),Datos!I10," - ")</f>
        <v>389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145</v>
      </c>
      <c r="X10" s="225">
        <f>IF(ISNUMBER(Datos!Q10),Datos!Q10," - ")</f>
        <v>7</v>
      </c>
      <c r="Y10" s="333">
        <f t="shared" ref="Y10:Y12" si="0">SUM(W10:X10)</f>
        <v>152</v>
      </c>
      <c r="Z10" s="334" t="str">
        <f>IF(ISNUMBER(Datos!CC10),Datos!CC10," - ")</f>
        <v xml:space="preserve"> - </v>
      </c>
      <c r="AA10" s="331">
        <f>IF(ISNUMBER(Datos!L10),Datos!L10,"-")</f>
        <v>394</v>
      </c>
      <c r="AB10" s="333">
        <f>IF(ISNUMBER(Datos!R10),Datos!R10," - ")</f>
        <v>179</v>
      </c>
      <c r="AC10" s="333">
        <f t="shared" ref="AC10:AC12" si="1">IF(ISNUMBER(AA10+AB10),AA10+AB10," - ")</f>
        <v>573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73</v>
      </c>
      <c r="AJ10" s="230" t="str">
        <f>IF(ISNUMBER(Datos!BW10),Datos!BW10," - ")</f>
        <v xml:space="preserve"> - </v>
      </c>
      <c r="AK10" s="231" t="str">
        <f>IF(ISNUMBER(Datos!BX10),Datos!BX10," - ")</f>
        <v xml:space="preserve"> - </v>
      </c>
      <c r="AL10" s="242">
        <f>IF(ISNUMBER(NºAsuntos!G10/NºAsuntos!E10),NºAsuntos!G10/NºAsuntos!E10," - ")</f>
        <v>0.96666666666666667</v>
      </c>
      <c r="AM10" s="259">
        <f>IF(ISNUMBER(((NºAsuntos!I10/NºAsuntos!G10)*11)/factor_trimestre),((NºAsuntos!I10/NºAsuntos!G10)*11)/factor_trimestre," - ")</f>
        <v>8.1517241379310352</v>
      </c>
      <c r="AN10" s="243">
        <f>IF(ISNUMBER('Resol  Asuntos'!D10/NºAsuntos!G10),'Resol  Asuntos'!D10/NºAsuntos!G10," - ")</f>
        <v>0.50344827586206897</v>
      </c>
      <c r="AO10" s="244">
        <f>IF(ISNUMBER((NºAsuntos!C10+NºAsuntos!E10)/NºAsuntos!G10),(NºAsuntos!C10+NºAsuntos!E10)/NºAsuntos!G10," - ")</f>
        <v>3.7172413793103449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246</v>
      </c>
      <c r="C11" s="7" t="str">
        <f>Datos!A11</f>
        <v xml:space="preserve">Jdos. Familia                                   </v>
      </c>
      <c r="D11" s="7"/>
      <c r="E11" s="1024">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85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163</v>
      </c>
      <c r="Y11" s="333">
        <f t="shared" si="0"/>
        <v>163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1104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359</v>
      </c>
      <c r="AJ11" s="230" t="str">
        <f>IF(ISNUMBER(Datos!BW11),Datos!BW11," - ")</f>
        <v xml:space="preserve"> - </v>
      </c>
      <c r="AK11" s="231" t="str">
        <f>IF(ISNUMBER(Datos!BX11),Datos!BX11," - ")</f>
        <v xml:space="preserve"> - </v>
      </c>
      <c r="AL11" s="242">
        <f>IF(ISNUMBER(NºAsuntos!G11/NºAsuntos!E11),NºAsuntos!G11/NºAsuntos!E11," - ")</f>
        <v>1.0943652410047522</v>
      </c>
      <c r="AM11" s="259">
        <f>IF(ISNUMBER(((NºAsuntos!I11/NºAsuntos!G11)*11)/factor_trimestre),((NºAsuntos!I11/NºAsuntos!G11)*11)/factor_trimestre," - ")</f>
        <v>2.7115384615384617</v>
      </c>
      <c r="AN11" s="243">
        <f>IF(ISNUMBER('Resol  Asuntos'!D11/NºAsuntos!G11),'Resol  Asuntos'!D11/NºAsuntos!G11," - ")</f>
        <v>0.2227047146401985</v>
      </c>
      <c r="AO11" s="244">
        <f>IF(ISNUMBER((NºAsuntos!C11+NºAsuntos!E11)/NºAsuntos!G11),(NºAsuntos!C11+NºAsuntos!E11)/NºAsuntos!G11," - ")</f>
        <v>1.9038461538461537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21</v>
      </c>
      <c r="F13" s="864">
        <f t="shared" si="3"/>
        <v>389</v>
      </c>
      <c r="G13" s="865">
        <f t="shared" si="3"/>
        <v>389</v>
      </c>
      <c r="H13" s="864">
        <f t="shared" si="3"/>
        <v>0</v>
      </c>
      <c r="I13" s="866">
        <f t="shared" si="3"/>
        <v>0</v>
      </c>
      <c r="J13" s="866">
        <f t="shared" si="3"/>
        <v>0</v>
      </c>
      <c r="K13" s="866">
        <f t="shared" si="3"/>
        <v>0</v>
      </c>
      <c r="L13" s="866">
        <f t="shared" si="3"/>
        <v>1961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145</v>
      </c>
      <c r="X13" s="866">
        <f t="shared" si="4"/>
        <v>4471</v>
      </c>
      <c r="Y13" s="867">
        <f t="shared" si="4"/>
        <v>4616</v>
      </c>
      <c r="Z13" s="867">
        <f t="shared" si="4"/>
        <v>0</v>
      </c>
      <c r="AA13" s="867">
        <f t="shared" si="4"/>
        <v>394</v>
      </c>
      <c r="AB13" s="867">
        <f t="shared" si="4"/>
        <v>27606</v>
      </c>
      <c r="AC13" s="867">
        <f t="shared" si="4"/>
        <v>573</v>
      </c>
      <c r="AD13" s="867">
        <f t="shared" si="4"/>
        <v>0</v>
      </c>
      <c r="AE13" s="871">
        <f t="shared" si="4"/>
        <v>0</v>
      </c>
      <c r="AF13" s="864">
        <f t="shared" si="4"/>
        <v>0</v>
      </c>
      <c r="AG13" s="872">
        <f t="shared" si="4"/>
        <v>0</v>
      </c>
      <c r="AH13" s="869">
        <f t="shared" si="4"/>
        <v>0</v>
      </c>
      <c r="AI13" s="864">
        <f t="shared" si="4"/>
        <v>3316</v>
      </c>
      <c r="AJ13" s="866">
        <f t="shared" si="4"/>
        <v>0</v>
      </c>
      <c r="AK13" s="869">
        <f>SUBTOTAL(9,AK9:AK12)</f>
        <v>0</v>
      </c>
      <c r="AL13" s="873">
        <f>IF(ISNUMBER(NºAsuntos!G13/NºAsuntos!E13),NºAsuntos!G13/NºAsuntos!E13," - ")</f>
        <v>1.1987465348921298</v>
      </c>
      <c r="AM13" s="873">
        <f>IF(ISNUMBER(((NºAsuntos!I13/NºAsuntos!G13)*11)/factor_trimestre),((NºAsuntos!I13/NºAsuntos!G13)*11)/factor_trimestre," - ")</f>
        <v>4.3250552986125079</v>
      </c>
      <c r="AN13" s="874">
        <f>IF(ISNUMBER('Resol  Asuntos'!D13/NºAsuntos!G13),'Resol  Asuntos'!D13/NºAsuntos!G13," - ")</f>
        <v>0.33340036195455458</v>
      </c>
      <c r="AO13" s="875">
        <f>IF(ISNUMBER((NºAsuntos!C13+NºAsuntos!E13)/NºAsuntos!G13),(NºAsuntos!C13+NºAsuntos!E13)/NºAsuntos!G13," - ")</f>
        <v>2.4067967021918357</v>
      </c>
      <c r="AP13" s="876" t="str">
        <f t="shared" si="2"/>
        <v xml:space="preserve"> - </v>
      </c>
      <c r="AQ13" s="876">
        <f>IF(ISNUMBER((H13-W13+K13)/(F13)),(H13-W13+K13)/(F13)," - ")</f>
        <v>-0.37275064267352187</v>
      </c>
      <c r="AR13" s="877">
        <f>IF(ISNUMBER((Datos!P13-Datos!Q13)/(Datos!R13-Datos!P13+Datos!Q13)),(Datos!P13-Datos!Q13)/(Datos!R13-Datos!P13+Datos!Q13)," - ")</f>
        <v>-8.3344401646965063E-2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8</v>
      </c>
      <c r="B15" s="274" t="s">
        <v>396</v>
      </c>
      <c r="C15" s="159" t="str">
        <f>Datos!A15</f>
        <v xml:space="preserve">Jdos. Instrucción                               </v>
      </c>
      <c r="D15" s="159"/>
      <c r="E15" s="1024">
        <f>IF(ISNUMBER(Datos!AQ15),Datos!AQ15," - ")</f>
        <v>8</v>
      </c>
      <c r="F15" s="224">
        <f>IF(ISNUMBER(AA15+W15-Datos!J15-K15),AA15+W15-Datos!J15-K15," - ")</f>
        <v>5021</v>
      </c>
      <c r="G15" s="332">
        <f>IF(ISNUMBER(IF(D_I="SI",Datos!I15,Datos!I15+Datos!AC15)),IF(D_I="SI",Datos!I15,Datos!I15+Datos!AC15)," - ")</f>
        <v>4940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440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8473</v>
      </c>
      <c r="X15" s="225">
        <f>IF(ISNUMBER(Datos!Q15),Datos!Q15," - ")</f>
        <v>474</v>
      </c>
      <c r="Y15" s="333">
        <f>SUM(W15)</f>
        <v>8473</v>
      </c>
      <c r="Z15" s="334" t="str">
        <f>IF(ISNUMBER(Datos!CC15),Datos!CC15," - ")</f>
        <v xml:space="preserve"> - </v>
      </c>
      <c r="AA15" s="331">
        <f>IF(ISNUMBER(IF(D_I="SI",Datos!L15,Datos!L15+Datos!AF15)),IF(D_I="SI",Datos!L15,Datos!L15+Datos!AF15)," - ")</f>
        <v>4926</v>
      </c>
      <c r="AB15" s="333">
        <f>IF(ISNUMBER(Datos!R15),Datos!R15," - ")</f>
        <v>908</v>
      </c>
      <c r="AC15" s="333">
        <f t="shared" ref="AC15:AC17" si="6">IF(ISNUMBER(AA15+AB15),AA15+AB15," - ")</f>
        <v>5834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1070</v>
      </c>
      <c r="AJ15" s="230" t="str">
        <f>IF(ISNUMBER(Datos!BW15),Datos!BW15," - ")</f>
        <v xml:space="preserve"> - </v>
      </c>
      <c r="AK15" s="231" t="str">
        <f>IF(ISNUMBER(Datos!BX15),Datos!BX15," - ")</f>
        <v xml:space="preserve"> - </v>
      </c>
      <c r="AL15" s="242">
        <f>IF(ISNUMBER(NºAsuntos!G15/NºAsuntos!E15),NºAsuntos!G15/NºAsuntos!E15," - ")</f>
        <v>1.0113392217713058</v>
      </c>
      <c r="AM15" s="259">
        <f>IF(ISNUMBER(((NºAsuntos!I15/NºAsuntos!G15)*11)/factor_trimestre),((NºAsuntos!I15/NºAsuntos!G15)*11)/factor_trimestre," - ")</f>
        <v>1.7441284078838664</v>
      </c>
      <c r="AN15" s="243">
        <f>IF(ISNUMBER('Resol  Asuntos'!D15/NºAsuntos!G15),'Resol  Asuntos'!D15/NºAsuntos!G15," - ")</f>
        <v>0.12628348872890358</v>
      </c>
      <c r="AO15" s="244">
        <f>IF(ISNUMBER((NºAsuntos!C15+NºAsuntos!E15)/NºAsuntos!G15),(NºAsuntos!C15+NºAsuntos!E15)/NºAsuntos!G15," - ")</f>
        <v>1.5718163578425588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3</v>
      </c>
      <c r="B17" s="274" t="s">
        <v>396</v>
      </c>
      <c r="C17" s="7" t="str">
        <f>Datos!A17</f>
        <v>Jdos. Violencia contra la mujer/Secc Viol. TI.</v>
      </c>
      <c r="D17" s="7"/>
      <c r="E17" s="1024">
        <f>IF(ISNUMBER(Datos!AQ17),Datos!AQ17," - ")</f>
        <v>3</v>
      </c>
      <c r="F17" s="224" t="str">
        <f>IF(ISNUMBER(AA17+W17-H17-K17),AA17+W17-H17-K17," - ")</f>
        <v xml:space="preserve"> - </v>
      </c>
      <c r="G17" s="332">
        <f>IF(ISNUMBER(IF(D_I="SI",Datos!I17,Datos!I17+Datos!AC17)),IF(D_I="SI",Datos!I17,Datos!I17+Datos!AC17)," - ")</f>
        <v>614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1469</v>
      </c>
      <c r="X17" s="225">
        <f>IF(ISNUMBER(Datos!Q17),Datos!Q17," - ")</f>
        <v>44</v>
      </c>
      <c r="Y17" s="333">
        <f t="shared" si="7"/>
        <v>1513</v>
      </c>
      <c r="Z17" s="334" t="str">
        <f>IF(ISNUMBER(Datos!CC17),Datos!CC17," - ")</f>
        <v xml:space="preserve"> - </v>
      </c>
      <c r="AA17" s="331">
        <f>IF(ISNUMBER(Datos!L17),Datos!L17,"-")</f>
        <v>531</v>
      </c>
      <c r="AB17" s="333">
        <f>IF(ISNUMBER(Datos!R17),Datos!R17," - ")</f>
        <v>134</v>
      </c>
      <c r="AC17" s="333">
        <f t="shared" si="6"/>
        <v>665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260</v>
      </c>
      <c r="AJ17" s="230" t="str">
        <f>IF(ISNUMBER(Datos!BW17),Datos!BW17," - ")</f>
        <v xml:space="preserve"> - </v>
      </c>
      <c r="AK17" s="231" t="str">
        <f>IF(ISNUMBER(Datos!BX17),Datos!BX17," - ")</f>
        <v xml:space="preserve"> - </v>
      </c>
      <c r="AL17" s="242">
        <f>IF(ISNUMBER(NºAsuntos!G17/NºAsuntos!E17),NºAsuntos!G17/NºAsuntos!E17," - ")</f>
        <v>1.0614161849710984</v>
      </c>
      <c r="AM17" s="259">
        <f>IF(ISNUMBER(((NºAsuntos!I17/NºAsuntos!G17)*11)/factor_trimestre),((NºAsuntos!I17/NºAsuntos!G17)*11)/factor_trimestre," - ")</f>
        <v>1.0844111640571819</v>
      </c>
      <c r="AN17" s="243">
        <f>IF(ISNUMBER('Resol  Asuntos'!D17/NºAsuntos!G17),'Resol  Asuntos'!D17/NºAsuntos!G17," - ")</f>
        <v>0.17699115044247787</v>
      </c>
      <c r="AO17" s="244">
        <f>IF(ISNUMBER((NºAsuntos!C17+NºAsuntos!E17)/NºAsuntos!G17),(NºAsuntos!C17+NºAsuntos!E17)/NºAsuntos!G17," - ")</f>
        <v>1.3601089176310415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11</v>
      </c>
      <c r="F18" s="864">
        <f>SUBTOTAL(9,F14:F17)</f>
        <v>5021</v>
      </c>
      <c r="G18" s="865">
        <f>SUBTOTAL(9,G15:G17)</f>
        <v>5554</v>
      </c>
      <c r="H18" s="864">
        <f t="shared" ref="H18:O18" si="10">SUBTOTAL(9,H14:H17)</f>
        <v>0</v>
      </c>
      <c r="I18" s="866">
        <f t="shared" si="10"/>
        <v>0</v>
      </c>
      <c r="J18" s="866">
        <f t="shared" si="10"/>
        <v>0</v>
      </c>
      <c r="K18" s="866">
        <f t="shared" si="10"/>
        <v>0</v>
      </c>
      <c r="L18" s="866">
        <f t="shared" si="10"/>
        <v>515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9942</v>
      </c>
      <c r="X18" s="866">
        <f t="shared" si="11"/>
        <v>518</v>
      </c>
      <c r="Y18" s="867">
        <f t="shared" si="11"/>
        <v>9986</v>
      </c>
      <c r="Z18" s="867">
        <f t="shared" si="11"/>
        <v>0</v>
      </c>
      <c r="AA18" s="867">
        <f t="shared" si="11"/>
        <v>5457</v>
      </c>
      <c r="AB18" s="867">
        <f t="shared" si="11"/>
        <v>1042</v>
      </c>
      <c r="AC18" s="867">
        <f t="shared" si="11"/>
        <v>6499</v>
      </c>
      <c r="AD18" s="867">
        <f t="shared" si="11"/>
        <v>0</v>
      </c>
      <c r="AE18" s="871">
        <f t="shared" si="11"/>
        <v>0</v>
      </c>
      <c r="AF18" s="864">
        <f t="shared" si="11"/>
        <v>0</v>
      </c>
      <c r="AG18" s="872">
        <f t="shared" si="11"/>
        <v>0</v>
      </c>
      <c r="AH18" s="869">
        <f t="shared" si="11"/>
        <v>0</v>
      </c>
      <c r="AI18" s="864">
        <f t="shared" si="11"/>
        <v>1330</v>
      </c>
      <c r="AJ18" s="866">
        <f t="shared" si="11"/>
        <v>0</v>
      </c>
      <c r="AK18" s="869">
        <f t="shared" si="11"/>
        <v>0</v>
      </c>
      <c r="AL18" s="873">
        <f>IF(ISNUMBER(NºAsuntos!G18/NºAsuntos!E18),NºAsuntos!G18/NºAsuntos!E18," - ")</f>
        <v>1.018438844499078</v>
      </c>
      <c r="AM18" s="873">
        <f>IF(ISNUMBER(((NºAsuntos!I18/NºAsuntos!G18)*11)/factor_trimestre),((NºAsuntos!I18/NºAsuntos!G18)*11)/factor_trimestre," - ")</f>
        <v>1.646650573325287</v>
      </c>
      <c r="AN18" s="874">
        <f>IF(ISNUMBER('Resol  Asuntos'!D18/NºAsuntos!G18),'Resol  Asuntos'!D18/NºAsuntos!G18," - ")</f>
        <v>0.13377590022128344</v>
      </c>
      <c r="AO18" s="875">
        <f>IF(ISNUMBER((NºAsuntos!C18+NºAsuntos!E18)/NºAsuntos!G18),(NºAsuntos!C18+NºAsuntos!E18)/NºAsuntos!G18," - ")</f>
        <v>1.5405351036008852</v>
      </c>
      <c r="AP18" s="876" t="str">
        <f t="shared" si="2"/>
        <v xml:space="preserve"> - </v>
      </c>
      <c r="AQ18" s="876">
        <f>IF(ISNUMBER((H18-W18+K18)/(F18)),(H18-W18+K18)/(F18)," - ")</f>
        <v>-1.9800836486755626</v>
      </c>
      <c r="AR18" s="877">
        <f>IF(ISNUMBER((Datos!P18-Datos!Q18)/(Datos!R18-Datos!P18+Datos!Q18)),(Datos!P18-Datos!Q18)/(Datos!R18-Datos!P18+Datos!Q18)," - ")</f>
        <v>-2.8708133971291866E-3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32</v>
      </c>
      <c r="F19" s="819">
        <f t="shared" si="13"/>
        <v>5410</v>
      </c>
      <c r="G19" s="820">
        <f t="shared" si="13"/>
        <v>5943</v>
      </c>
      <c r="H19" s="819">
        <f t="shared" si="13"/>
        <v>0</v>
      </c>
      <c r="I19" s="821">
        <f t="shared" si="13"/>
        <v>0</v>
      </c>
      <c r="J19" s="821">
        <f t="shared" si="13"/>
        <v>0</v>
      </c>
      <c r="K19" s="880">
        <f t="shared" si="13"/>
        <v>0</v>
      </c>
      <c r="L19" s="821">
        <f t="shared" si="13"/>
        <v>2476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10087</v>
      </c>
      <c r="X19" s="820">
        <f t="shared" si="14"/>
        <v>4989</v>
      </c>
      <c r="Y19" s="827">
        <f t="shared" si="14"/>
        <v>14602</v>
      </c>
      <c r="Z19" s="827">
        <f t="shared" si="14"/>
        <v>0</v>
      </c>
      <c r="AA19" s="827">
        <f t="shared" si="14"/>
        <v>5851</v>
      </c>
      <c r="AB19" s="827">
        <f t="shared" si="14"/>
        <v>28648</v>
      </c>
      <c r="AC19" s="827">
        <f t="shared" si="14"/>
        <v>7072</v>
      </c>
      <c r="AD19" s="827">
        <f t="shared" si="14"/>
        <v>0</v>
      </c>
      <c r="AE19" s="829">
        <f t="shared" si="14"/>
        <v>0</v>
      </c>
      <c r="AF19" s="830">
        <f t="shared" si="14"/>
        <v>0</v>
      </c>
      <c r="AG19" s="831">
        <f t="shared" si="14"/>
        <v>0</v>
      </c>
      <c r="AH19" s="829">
        <f t="shared" si="14"/>
        <v>0</v>
      </c>
      <c r="AI19" s="819">
        <f t="shared" si="14"/>
        <v>4646</v>
      </c>
      <c r="AJ19" s="819">
        <f t="shared" si="14"/>
        <v>0</v>
      </c>
      <c r="AK19" s="829">
        <f t="shared" si="14"/>
        <v>0</v>
      </c>
      <c r="AL19" s="883">
        <f>IF(ISNUMBER(NºAsuntos!G19/NºAsuntos!E19),NºAsuntos!G19/NºAsuntos!E19," - ")</f>
        <v>1.1012791405947173</v>
      </c>
      <c r="AM19" s="884">
        <f>IF(ISNUMBER(((NºAsuntos!I19/NºAsuntos!G19)*11)/factor_trimestre),((NºAsuntos!I19/NºAsuntos!G19)*11)/factor_trimestre," - ")</f>
        <v>2.9861222847948516</v>
      </c>
      <c r="AN19" s="884">
        <f>IF(ISNUMBER('Resol  Asuntos'!D19/NºAsuntos!G19),'Resol  Asuntos'!D19/NºAsuntos!G19," - ")</f>
        <v>0.2336082059533387</v>
      </c>
      <c r="AO19" s="885">
        <f>IF(ISNUMBER((NºAsuntos!C19+NºAsuntos!E19)/NºAsuntos!G19),(NºAsuntos!C19+NºAsuntos!E19)/NºAsuntos!G19," - ")</f>
        <v>1.9737530168946098</v>
      </c>
      <c r="AP19" s="886" t="str">
        <f t="shared" si="2"/>
        <v xml:space="preserve"> - </v>
      </c>
      <c r="AQ19" s="887">
        <f>IF(OR(ISNUMBER(FIND("01",Criterios!A8,1)),ISNUMBER(FIND("02",Criterios!A8,1)),ISNUMBER(FIND("03",Criterios!A8,1)),ISNUMBER(FIND("04",Criterios!A8,1))),(I19-W19+K19)/(F19-K19),(H19-W19+K19)/(F19-K19))</f>
        <v>-1.8645101663585952</v>
      </c>
      <c r="AR19" s="888">
        <f>IF(ISNUMBER((Datos!P19-Datos!Q19)/(Datos!R19-Datos!P19+Datos!Q19)),(Datos!P19-Datos!Q19)/(Datos!R19-Datos!P19+Datos!Q19)," - ")</f>
        <v>-8.0645678893488656E-2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2377.1999999999998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7.078920193865101</v>
      </c>
      <c r="F21" s="251">
        <f>IF(ISNUMBER(STDEV(F8:F18)),STDEV(F8:F18),"-")</f>
        <v>2674.2864468863468</v>
      </c>
      <c r="G21" s="252">
        <f>IF(ISNUMBER(STDEV(G8:G18)),STDEV(G8:G18),"-")</f>
        <v>2630.3400350525026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4781.1360783813716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1297.0772088485271</v>
      </c>
      <c r="AJ21" s="251">
        <f t="shared" si="18"/>
        <v>0</v>
      </c>
      <c r="AK21" s="253">
        <f t="shared" si="18"/>
        <v>0</v>
      </c>
      <c r="AL21" s="248">
        <f t="shared" si="18"/>
        <v>9.7948899800235481E-2</v>
      </c>
      <c r="AM21" s="249">
        <f t="shared" si="18"/>
        <v>2.4644017936961133</v>
      </c>
      <c r="AN21" s="249">
        <f t="shared" si="18"/>
        <v>0.13852043312285228</v>
      </c>
      <c r="AO21" s="250">
        <f t="shared" si="18"/>
        <v>0.81878293523275769</v>
      </c>
      <c r="AP21" s="290" t="str">
        <f t="shared" si="18"/>
        <v>-</v>
      </c>
      <c r="AQ21" s="291">
        <f t="shared" si="18"/>
        <v>1.136556068169001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vMZ1EEsxJmyrphCTdQbcmPI3MgDs4skt1WK2PsYmM9ConmRok287vJRxEzEdHvQMLGCGjtvEIzNS+WIXW4R0vw==" saltValue="E8tqtO/BWI43IQ6Sk2cY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PALMAS DE GRAN CANARIA, LAS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-3.3835845896147403E-2</v>
      </c>
      <c r="I9" s="349">
        <f>IF(ISNUMBER((Tasas!C9-Datos!BE9)/Datos!BE9),(Tasas!C9-Datos!BE9)/Datos!BE9," - ")</f>
        <v>9.5599422751735399E-2</v>
      </c>
      <c r="J9" s="348">
        <f>IF(ISNUMBER((Tasas!D9-Datos!BF9)/Datos!BF9),(Tasas!D9-Datos!BF9)/Datos!BF9," - ")</f>
        <v>-0.33007405258754074</v>
      </c>
      <c r="K9" s="350">
        <f>IF(ISNUMBER((Tasas!E9-Datos!BG9)/Datos!BG9),(Tasas!E9-Datos!BG9)/Datos!BG9," - ")</f>
        <v>3.7953379310552295E-2</v>
      </c>
      <c r="M9" t="e">
        <f>IF(Monitorios="SI",Datos!CE9,0)</f>
        <v>#REF!</v>
      </c>
      <c r="N9" t="e">
        <f>IF(Monitorios="SI",Datos!CF9,0)</f>
        <v>#REF!</v>
      </c>
      <c r="O9" t="e">
        <f>IF(Monitorios="SI",Datos!CG9,0)</f>
        <v>#REF!</v>
      </c>
      <c r="P9" t="e">
        <f>IF(Monitorios="SI",Datos!CH9,0)</f>
        <v>#REF!</v>
      </c>
      <c r="Q9">
        <f>IF(J_V="SI",0,Datos!AG9)</f>
        <v>262</v>
      </c>
      <c r="R9">
        <f>IF(J_V="SI",0,Datos!AH9)</f>
        <v>130</v>
      </c>
      <c r="S9">
        <f>IF(J_V="SI",0,Datos!AI9)</f>
        <v>173</v>
      </c>
      <c r="T9">
        <f>IF(J_V="SI",0,Datos!AJ9)</f>
        <v>219</v>
      </c>
    </row>
    <row r="10" spans="2:20" ht="14.25">
      <c r="B10" s="274" t="s">
        <v>246</v>
      </c>
      <c r="C10" s="7" t="str">
        <f>Datos!A10</f>
        <v>Jdos. Violencia contra la mujer/Secc Viol. TI.</v>
      </c>
      <c r="D10" s="351">
        <f>IF(ISNUMBER((Datos!I10-Datos!S10)/Datos!S10),(Datos!I10-Datos!S10)/Datos!S10," - ")</f>
        <v>0.41970802919708028</v>
      </c>
      <c r="E10" s="347">
        <f>IF(ISNUMBER((Datos!J10-Datos!T10)/Datos!T10),(Datos!J10-Datos!T10)/Datos!T10," - ")</f>
        <v>-1.9607843137254902E-2</v>
      </c>
      <c r="F10" s="347">
        <f>IF(ISNUMBER((Datos!K10-Datos!U10)/Datos!U10),(Datos!K10-Datos!U10)/Datos!U10," - ")</f>
        <v>0.30630630630630629</v>
      </c>
      <c r="G10" s="348">
        <f>IF(ISNUMBER((Datos!L10-Datos!V10)/Datos!V10),(Datos!L10-Datos!V10)/Datos!V10," - ")</f>
        <v>0.24683544303797469</v>
      </c>
      <c r="H10" s="229">
        <f>IF(ISNUMBER((Datos!M10-Datos!W10)/Datos!W10),(Datos!M10-Datos!W10)/Datos!W10," - ")</f>
        <v>0.25862068965517243</v>
      </c>
      <c r="I10" s="349">
        <f>IF(ISNUMBER((Tasas!C10-Datos!BE10)/Datos!BE10),(Tasas!C10-Datos!BE10)/Datos!BE10," - ")</f>
        <v>-4.5525971191619274E-2</v>
      </c>
      <c r="J10" s="348">
        <f>IF(ISNUMBER((Tasas!D10-Datos!BF10)/Datos!BF10),(Tasas!D10-Datos!BF10)/Datos!BF10," - ")</f>
        <v>-3.6504161712247296E-2</v>
      </c>
      <c r="K10" s="350">
        <f>IF(ISNUMBER((Tasas!E10-Datos!BG10)/Datos!BG10),(Tasas!E10-Datos!BG10)/Datos!BG10," - ")</f>
        <v>-3.3691351045788499E-2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0.10461538461538461</v>
      </c>
      <c r="I11" s="349">
        <f>IF(ISNUMBER((Tasas!C11-Datos!BE11)/Datos!BE11),(Tasas!C11-Datos!BE11)/Datos!BE11," - ")</f>
        <v>-1.8186286556893524E-2</v>
      </c>
      <c r="J11" s="348">
        <f>IF(ISNUMBER((Tasas!D11-Datos!BF11)/Datos!BF11),(Tasas!D11-Datos!BF11)/Datos!BF11," - ")</f>
        <v>-0.6313553895926608</v>
      </c>
      <c r="K11" s="350">
        <f>IF(ISNUMBER((Tasas!E11-Datos!BG11)/Datos!BG11),(Tasas!E11-Datos!BG11)/Datos!BG11," - ")</f>
        <v>1.0944823812128746E-3</v>
      </c>
      <c r="M11" t="e">
        <f>IF(Monitorios="SI",Datos!CE11,0)</f>
        <v>#REF!</v>
      </c>
      <c r="N11" t="e">
        <f>IF(Monitorios="SI",Datos!CF11,0)</f>
        <v>#REF!</v>
      </c>
      <c r="O11" t="e">
        <f>IF(Monitorios="SI",Datos!CG11,0)</f>
        <v>#REF!</v>
      </c>
      <c r="P11" t="e">
        <f>IF(Monitorios="SI",Datos!CH11,0)</f>
        <v>#REF!</v>
      </c>
      <c r="Q11">
        <f>IF(J_V="SI",0,Datos!AG11)</f>
        <v>398</v>
      </c>
      <c r="R11">
        <f>IF(J_V="SI",0,Datos!AH11)</f>
        <v>827</v>
      </c>
      <c r="S11">
        <f>IF(J_V="SI",0,Datos!AI11)</f>
        <v>853</v>
      </c>
      <c r="T11">
        <f>IF(J_V="SI",0,Datos!AJ11)</f>
        <v>430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-1.5439429928741092E-2</v>
      </c>
      <c r="I13" s="356">
        <f>IF(ISNUMBER((Tasas!C13-Datos!BE13)/Datos!BE13),(Tasas!C13-Datos!BE13)/Datos!BE13," - ")</f>
        <v>7.2476958465786195E-2</v>
      </c>
      <c r="J13" s="354">
        <f>IF(ISNUMBER((Tasas!D13-Datos!BF13)/Datos!BF13),(Tasas!D13-Datos!BF13)/Datos!BF13," - ")</f>
        <v>-0.37752283971605488</v>
      </c>
      <c r="K13" s="357">
        <f>IF(ISNUMBER((Tasas!E13-Datos!BG13)/Datos!BG13),(Tasas!E13-Datos!BG13)/Datos!BG13," - ")</f>
        <v>2.7755240724772881E-2</v>
      </c>
      <c r="M13" t="e">
        <f>IF(Monitorios="SI",Datos!CE13,0)</f>
        <v>#REF!</v>
      </c>
      <c r="N13" t="e">
        <f>IF(Monitorios="SI",Datos!CF13,0)</f>
        <v>#REF!</v>
      </c>
      <c r="O13" t="e">
        <f>IF(Monitorios="SI",Datos!CG13,0)</f>
        <v>#REF!</v>
      </c>
      <c r="P13" t="e">
        <f>IF(Monitorios="SI",Datos!CH13,0)</f>
        <v>#REF!</v>
      </c>
      <c r="Q13">
        <f>IF(J_V="SI",0,Datos!AG13)</f>
        <v>660</v>
      </c>
      <c r="R13">
        <f>IF(J_V="SI",0,Datos!AH13)</f>
        <v>957</v>
      </c>
      <c r="S13">
        <f>IF(J_V="SI",0,Datos!AI13)</f>
        <v>1026</v>
      </c>
      <c r="T13">
        <f>IF(J_V="SI",0,Datos!AJ13)</f>
        <v>649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7.1118820468343447E-2</v>
      </c>
      <c r="E15" s="347">
        <f>IF(ISNUMBER(
   IF(D_I="SI",(Datos!J15-Datos!T15)/Datos!T15,(Datos!J15+Datos!AD15-(Datos!T15+Datos!AL15))/(Datos!T15+Datos!AL15))
     ),IF(D_I="SI",(Datos!J15-Datos!T15)/Datos!T15,(Datos!J15+Datos!AD15-(Datos!T15+Datos!AL15))/(Datos!T15+Datos!AL15))," - ")</f>
        <v>-4.4697833523375141E-2</v>
      </c>
      <c r="F15" s="347">
        <f>IF(ISNUMBER(
   IF(D_I="SI",(Datos!K15-Datos!U15)/Datos!U15,(Datos!K15+Datos!AE15-(Datos!U15+Datos!AM15))/(Datos!U15+Datos!AM15))
     ),IF(D_I="SI",(Datos!K15-Datos!U15)/Datos!U15,(Datos!K15+Datos!AE15-(Datos!U15+Datos!AM15))/(Datos!U15+Datos!AM15))," - ")</f>
        <v>-4.7656513431493762E-2</v>
      </c>
      <c r="G15" s="348">
        <f>IF(ISNUMBER(
   IF(D_I="SI",(Datos!L15-Datos!V15)/Datos!V15,(Datos!L15+Datos!AF15-(Datos!V15+Datos!AN15))/(Datos!V15+Datos!AN15))
     ),IF(D_I="SI",(Datos!L15-Datos!V15)/Datos!V15,(Datos!L15+Datos!AF15-(Datos!V15+Datos!AN15))/(Datos!V15+Datos!AN15))," - ")</f>
        <v>6.8778476893035359E-2</v>
      </c>
      <c r="H15" s="229">
        <f>IF(ISNUMBER((Datos!M15-Datos!W15)/Datos!W15),(Datos!M15-Datos!W15)/Datos!W15," - ")</f>
        <v>-1.3824884792626729E-2</v>
      </c>
      <c r="I15" s="349">
        <f>IF(ISNUMBER((Tasas!C15-Datos!BE15)/Datos!BE15),(Tasas!C15-Datos!BE15)/Datos!BE15," - ")</f>
        <v>0.12226154950045279</v>
      </c>
      <c r="J15" s="348">
        <f>IF(ISNUMBER((Tasas!D15-Datos!BF15)/Datos!BF15),(Tasas!D15-Datos!BF15)/Datos!BF15," - ")</f>
        <v>3.5524607577009343E-2</v>
      </c>
      <c r="K15" s="350">
        <f>IF(ISNUMBER((Tasas!E15-Datos!BG15)/Datos!BG15),(Tasas!E15-Datos!BG15)/Datos!BG15," - ")</f>
        <v>4.5019439226217761E-2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0.5505050505050505</v>
      </c>
      <c r="E17" s="347">
        <f>IF(ISNUMBER(
   IF(D_I="SI",(Datos!J17-Datos!T17)/Datos!T17,(Datos!J17+Datos!AD17-(Datos!T17+Datos!AL17))/(Datos!T17+Datos!AL17))
     ),IF(D_I="SI",(Datos!J17-Datos!T17)/Datos!T17,(Datos!J17+Datos!AD17-(Datos!T17+Datos!AL17))/(Datos!T17+Datos!AL17))," - ")</f>
        <v>0.10103420843277645</v>
      </c>
      <c r="F17" s="347">
        <f>IF(ISNUMBER(
   IF(D_I="SI",(Datos!K17-Datos!U17)/Datos!U17,(Datos!K17+Datos!AE17-(Datos!U17+Datos!AM17))/(Datos!U17+Datos!AM17))
     ),IF(D_I="SI",(Datos!K17-Datos!U17)/Datos!U17,(Datos!K17+Datos!AE17-(Datos!U17+Datos!AM17))/(Datos!U17+Datos!AM17))," - ")</f>
        <v>0.23653198653198654</v>
      </c>
      <c r="G17" s="348">
        <f>IF(ISNUMBER(
   IF(D_I="SI",(Datos!L17-Datos!V17)/Datos!V17,(Datos!L17+Datos!AF17-(Datos!V17+Datos!AN17))/(Datos!V17+Datos!AN17))
     ),IF(D_I="SI",(Datos!L17-Datos!V17)/Datos!V17,(Datos!L17+Datos!AF17-(Datos!V17+Datos!AN17))/(Datos!V17+Datos!AN17))," - ")</f>
        <v>0.13948497854077252</v>
      </c>
      <c r="H17" s="229">
        <f>IF(ISNUMBER((Datos!M17-Datos!W17)/Datos!W17),(Datos!M17-Datos!W17)/Datos!W17," - ")</f>
        <v>-6.4748201438848921E-2</v>
      </c>
      <c r="I17" s="349">
        <f>IF(ISNUMBER((Tasas!C17-Datos!BE17)/Datos!BE17),(Tasas!C17-Datos!BE17)/Datos!BE17," - ")</f>
        <v>-7.8483216809776921E-2</v>
      </c>
      <c r="J17" s="348">
        <f>IF(ISNUMBER((Tasas!D17-Datos!BF17)/Datos!BF17),(Tasas!D17-Datos!BF17)/Datos!BF17," - ")</f>
        <v>-0.24364932832495065</v>
      </c>
      <c r="K17" s="350">
        <f>IF(ISNUMBER((Tasas!E17-Datos!BG17)/Datos!BG17),(Tasas!E17-Datos!BG17)/Datos!BG17," - ")</f>
        <v>-2.2498854116347708E-2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0.10902555910543131</v>
      </c>
      <c r="E18" s="353">
        <f>IF(ISNUMBER(
   IF(D_I="SI",(Datos!J18-Datos!T18)/Datos!T18,(Datos!J18+Datos!AD18-(Datos!T18+Datos!AL18))/(Datos!T18+Datos!AL18))
     ),IF(D_I="SI",(Datos!J18-Datos!T18)/Datos!T18,(Datos!J18+Datos!AD18-(Datos!T18+Datos!AL18))/(Datos!T18+Datos!AL18))," - ")</f>
        <v>-2.6428642664805026E-2</v>
      </c>
      <c r="F18" s="353">
        <f>IF(ISNUMBER(
   IF(D_I="SI",(Datos!K18-Datos!U18)/Datos!U18,(Datos!K18+Datos!AE18-(Datos!U18+Datos!AM18))/(Datos!U18+Datos!AM18))
     ),IF(D_I="SI",(Datos!K18-Datos!U18)/Datos!U18,(Datos!K18+Datos!AE18-(Datos!U18+Datos!AM18))/(Datos!U18+Datos!AM18))," - ")</f>
        <v>-1.4179474467030244E-2</v>
      </c>
      <c r="G18" s="354">
        <f>IF(ISNUMBER(
   IF(D_I="SI",(Datos!L18-Datos!V18)/Datos!V18,(Datos!L18+Datos!AF18-(Datos!V18+Datos!AN18))/(Datos!V18+Datos!AN18))
     ),IF(D_I="SI",(Datos!L18-Datos!V18)/Datos!V18,(Datos!L18+Datos!AF18-(Datos!V18+Datos!AN18))/(Datos!V18+Datos!AN18))," - ")</f>
        <v>7.5270935960591132E-2</v>
      </c>
      <c r="H18" s="355">
        <f>IF(ISNUMBER((Datos!M18-Datos!W18)/Datos!W18),(Datos!M18-Datos!W18)/Datos!W18," - ")</f>
        <v>-2.4211298606016139E-2</v>
      </c>
      <c r="I18" s="356">
        <f>IF(ISNUMBER((Tasas!C18-Datos!BE18)/Datos!BE18),(Tasas!C18-Datos!BE18)/Datos!BE18," - ")</f>
        <v>9.0737013595107788E-2</v>
      </c>
      <c r="J18" s="354">
        <f>IF(ISNUMBER((Tasas!D18-Datos!BF18)/Datos!BF18),(Tasas!D18-Datos!BF18)/Datos!BF18," - ")</f>
        <v>-1.0176116117649655E-2</v>
      </c>
      <c r="K18" s="357">
        <f>IF(ISNUMBER((Tasas!E18-Datos!BG18)/Datos!BG18),(Tasas!E18-Datos!BG18)/Datos!BG18," - ")</f>
        <v>3.3341970057527613E-2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-0.11418063275797216</v>
      </c>
      <c r="E19" s="362">
        <f>IF(ISNUMBER(
   IF(J_V="SI",(Datos!J19-Datos!T19)/Datos!T19,(Datos!J19+Datos!Z19-(Datos!T19+Datos!AH19))/(Datos!T19+Datos!AH19))
     ),IF(J_V="SI",(Datos!J19-Datos!T19)/Datos!T19,(Datos!J19+Datos!Z19-(Datos!T19+Datos!AH19))/(Datos!T19+Datos!AH19))," - ")</f>
        <v>-0.19912191227992374</v>
      </c>
      <c r="F19" s="362">
        <f>IF(ISNUMBER(
   IF(J_V="SI",(Datos!K19-Datos!U19)/Datos!U19,(Datos!K19+Datos!AA19-(Datos!U19+Datos!AI19))/(Datos!U19+Datos!AI19))
     ),IF(J_V="SI",(Datos!K19-Datos!U19)/Datos!U19,(Datos!K19+Datos!AA19-(Datos!U19+Datos!AI19))/(Datos!U19+Datos!AI19))," - ")</f>
        <v>-0.15409808174896858</v>
      </c>
      <c r="G19" s="363">
        <f>IF(ISNUMBER(
   IF(J_V="SI",(Datos!L19-Datos!V19)/Datos!V19,(Datos!L19+Datos!AB19-(Datos!V19+Datos!AJ19))/(Datos!V19+Datos!AJ19))
     ),IF(J_V="SI",(Datos!L19-Datos!V19)/Datos!V19,(Datos!L19+Datos!AB19-(Datos!V19+Datos!AJ19))/(Datos!V19+Datos!AJ19))," - ")</f>
        <v>-0.14388271418068591</v>
      </c>
      <c r="H19" s="364">
        <f>IF(ISNUMBER((Datos!M19-Datos!W19)/Datos!W19),(Datos!M19-Datos!W19)/Datos!W19," - ")</f>
        <v>-1.7966603255125765E-2</v>
      </c>
      <c r="I19" s="361">
        <f>IF(ISNUMBER((Tasas!C19-Datos!BE19)/Datos!BE19),(Tasas!C19-Datos!BE19)/Datos!BE19," - ")</f>
        <v>1.2076302639676963E-2</v>
      </c>
      <c r="J19" s="362">
        <f>IF(ISNUMBER((Tasas!D19-Datos!BF19)/Datos!BF19),(Tasas!D19-Datos!BF19)/Datos!BF19," - ")</f>
        <v>-0.35791880638660911</v>
      </c>
      <c r="K19" s="363">
        <f>IF(ISNUMBER((Tasas!E19-Datos!BG19)/Datos!BG19),(Tasas!E19-Datos!BG19)/Datos!BG19," - ")</f>
        <v>-1.5296673506934838E-3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0.2347513070884425</v>
      </c>
      <c r="E21" s="277">
        <f t="shared" si="1"/>
        <v>6.6488661519626388E-2</v>
      </c>
      <c r="F21" s="277">
        <f t="shared" si="1"/>
        <v>0.17739065210719279</v>
      </c>
      <c r="G21" s="278">
        <f t="shared" si="1"/>
        <v>8.2577130698974113E-2</v>
      </c>
      <c r="H21" s="284">
        <f t="shared" si="1"/>
        <v>0.11387942583113336</v>
      </c>
      <c r="I21" s="276">
        <f t="shared" si="1"/>
        <v>7.9565808417925488E-2</v>
      </c>
      <c r="J21" s="277">
        <f t="shared" si="1"/>
        <v>0.24127407110554128</v>
      </c>
      <c r="K21" s="278">
        <f t="shared" si="1"/>
        <v>3.125389189902008E-2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Az20EgjpPaT474eHRnElPe6jJOJyW3ZI0ygrivtHPJdEbJHq/jVj5L9lQLSOMVgcWMdTanmyauH4jEmMF+COw==" saltValue="BsSfBAPy6RpI6gcwyHmr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